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PC\Desktop\"/>
    </mc:Choice>
  </mc:AlternateContent>
  <bookViews>
    <workbookView xWindow="0" yWindow="0" windowWidth="25200" windowHeight="11595"/>
  </bookViews>
  <sheets>
    <sheet name="MES X1" sheetId="72" r:id="rId1"/>
    <sheet name="EMPLEADO 1" sheetId="71" r:id="rId2"/>
    <sheet name="Reintegros" sheetId="70" r:id="rId3"/>
    <sheet name="Tabla ISR Mensual" sheetId="54" r:id="rId4"/>
    <sheet name="Costo empleado" sheetId="55" r:id="rId5"/>
  </sheets>
  <definedNames>
    <definedName name="A" localSheetId="1">#REF!</definedName>
    <definedName name="A" localSheetId="0">#REF!</definedName>
    <definedName name="A">#REF!</definedName>
    <definedName name="B" localSheetId="1">#REF!</definedName>
    <definedName name="B" localSheetId="0">#REF!</definedName>
    <definedName name="B">#REF!</definedName>
    <definedName name="D" localSheetId="1">#REF!</definedName>
    <definedName name="D" localSheetId="0">#REF!</definedName>
    <definedName name="D">#REF!</definedName>
    <definedName name="HOJA10" localSheetId="1">#REF!</definedName>
    <definedName name="HOJA10" localSheetId="0">#REF!</definedName>
    <definedName name="HOJA10">#REF!</definedName>
    <definedName name="junio" localSheetId="1">#REF!</definedName>
    <definedName name="junio" localSheetId="0">#REF!</definedName>
    <definedName name="junio">#REF!</definedName>
    <definedName name="LINEA2" localSheetId="1">#REF!</definedName>
    <definedName name="LINEA2" localSheetId="0">#REF!</definedName>
    <definedName name="LINEA2">#REF!</definedName>
    <definedName name="Marz2017" localSheetId="1">#REF!</definedName>
    <definedName name="Marz2017" localSheetId="0">#REF!</definedName>
    <definedName name="Marz2017">#REF!</definedName>
    <definedName name="PLAN" localSheetId="1">#REF!</definedName>
    <definedName name="PLAN" localSheetId="0">#REF!</definedName>
    <definedName name="PLAN">#REF!</definedName>
    <definedName name="Vacacion1" localSheetId="1">#REF!</definedName>
    <definedName name="Vacacion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72" l="1"/>
  <c r="T17" i="72"/>
  <c r="T16" i="72"/>
  <c r="T15" i="72"/>
  <c r="T14" i="72"/>
  <c r="T13" i="72"/>
  <c r="T12" i="72"/>
  <c r="T11" i="72"/>
  <c r="N11" i="72"/>
  <c r="E12" i="71"/>
  <c r="E17" i="71"/>
  <c r="AA11" i="72"/>
  <c r="E21" i="71"/>
  <c r="M11" i="72"/>
  <c r="E16" i="71" s="1"/>
  <c r="G11" i="72"/>
  <c r="K11" i="72" s="1"/>
  <c r="E15" i="71" s="1"/>
  <c r="Y18" i="72"/>
  <c r="X18" i="72"/>
  <c r="S18" i="72"/>
  <c r="R18" i="72"/>
  <c r="F18" i="72"/>
  <c r="M17" i="72"/>
  <c r="M16" i="72"/>
  <c r="M15" i="72"/>
  <c r="M14" i="72"/>
  <c r="N14" i="72" s="1"/>
  <c r="M13" i="72"/>
  <c r="N13" i="72" s="1"/>
  <c r="K17" i="72"/>
  <c r="N17" i="72" s="1"/>
  <c r="K16" i="72"/>
  <c r="N16" i="72" s="1"/>
  <c r="K15" i="72"/>
  <c r="K14" i="72"/>
  <c r="K13" i="72"/>
  <c r="G17" i="72"/>
  <c r="P17" i="72" s="1"/>
  <c r="G16" i="72"/>
  <c r="I16" i="72" s="1"/>
  <c r="G15" i="72"/>
  <c r="P15" i="72" s="1"/>
  <c r="Q15" i="72" s="1"/>
  <c r="G14" i="72"/>
  <c r="I14" i="72" s="1"/>
  <c r="I15" i="72"/>
  <c r="G13" i="72"/>
  <c r="P13" i="72" s="1"/>
  <c r="M12" i="72"/>
  <c r="N12" i="72" s="1"/>
  <c r="K12" i="72"/>
  <c r="G12" i="72"/>
  <c r="P12" i="72" s="1"/>
  <c r="K10" i="54"/>
  <c r="I12" i="72" l="1"/>
  <c r="I11" i="72"/>
  <c r="E10" i="71" s="1"/>
  <c r="I13" i="72"/>
  <c r="P14" i="72"/>
  <c r="Q14" i="72" s="1"/>
  <c r="P16" i="72"/>
  <c r="Q16" i="72" s="1"/>
  <c r="I17" i="72"/>
  <c r="P11" i="72"/>
  <c r="P18" i="72" s="1"/>
  <c r="Q17" i="72"/>
  <c r="Q12" i="72"/>
  <c r="Q13" i="72"/>
  <c r="AA18" i="72"/>
  <c r="K18" i="72"/>
  <c r="M18" i="72"/>
  <c r="N15" i="72"/>
  <c r="N18" i="72" s="1"/>
  <c r="E17" i="70"/>
  <c r="V14" i="72" l="1"/>
  <c r="E18" i="71"/>
  <c r="I18" i="72"/>
  <c r="Q11" i="72"/>
  <c r="E14" i="71" s="1"/>
  <c r="E13" i="71"/>
  <c r="V16" i="72"/>
  <c r="AF16" i="72"/>
  <c r="U16" i="72"/>
  <c r="AG16" i="72"/>
  <c r="V17" i="72"/>
  <c r="U17" i="72"/>
  <c r="AG17" i="72"/>
  <c r="AF17" i="72"/>
  <c r="V13" i="72"/>
  <c r="AF13" i="72"/>
  <c r="U13" i="72"/>
  <c r="AH13" i="72" s="1"/>
  <c r="AG13" i="72"/>
  <c r="V11" i="72"/>
  <c r="E24" i="71" s="1"/>
  <c r="U11" i="72"/>
  <c r="W13" i="72" l="1"/>
  <c r="Z13" i="72" s="1"/>
  <c r="AB13" i="72" s="1"/>
  <c r="AI17" i="72"/>
  <c r="W17" i="72"/>
  <c r="Z17" i="72" s="1"/>
  <c r="AB17" i="72" s="1"/>
  <c r="Q18" i="72"/>
  <c r="V12" i="72"/>
  <c r="E4" i="71"/>
  <c r="AI13" i="72"/>
  <c r="AI16" i="72"/>
  <c r="W16" i="72"/>
  <c r="Z16" i="72" s="1"/>
  <c r="AB16" i="72" s="1"/>
  <c r="AH17" i="72"/>
  <c r="AH16" i="72"/>
  <c r="E23" i="71"/>
  <c r="E25" i="71"/>
  <c r="E31" i="71" s="1"/>
  <c r="E32" i="71" s="1"/>
  <c r="V15" i="72"/>
  <c r="AF15" i="72"/>
  <c r="U15" i="72"/>
  <c r="AG15" i="72"/>
  <c r="AF14" i="72"/>
  <c r="U14" i="72"/>
  <c r="W14" i="72" s="1"/>
  <c r="AG14" i="72"/>
  <c r="AG12" i="72"/>
  <c r="U12" i="72"/>
  <c r="AF12" i="72"/>
  <c r="E31" i="70"/>
  <c r="AH15" i="72" l="1"/>
  <c r="Z11" i="72"/>
  <c r="AI15" i="72"/>
  <c r="W15" i="72"/>
  <c r="Z15" i="72" s="1"/>
  <c r="AB15" i="72" s="1"/>
  <c r="AI14" i="72"/>
  <c r="Z14" i="72"/>
  <c r="AB14" i="72" s="1"/>
  <c r="AH14" i="72"/>
  <c r="AH12" i="72"/>
  <c r="W12" i="72"/>
  <c r="Z12" i="72" s="1"/>
  <c r="AB12" i="72" s="1"/>
  <c r="AI12" i="72"/>
  <c r="AB11" i="72" l="1"/>
  <c r="F32" i="71" s="1"/>
  <c r="U22" i="72"/>
  <c r="T19" i="72"/>
  <c r="L18" i="72"/>
  <c r="J18" i="72"/>
  <c r="T18" i="72" l="1"/>
  <c r="AG11" i="72" l="1"/>
  <c r="AG18" i="72" s="1"/>
  <c r="V18" i="72"/>
  <c r="U18" i="72"/>
  <c r="AF11" i="72"/>
  <c r="AF18" i="72" s="1"/>
  <c r="K7" i="54" l="1"/>
  <c r="W18" i="72"/>
  <c r="AH11" i="72"/>
  <c r="AH18" i="72" s="1"/>
  <c r="K8" i="54"/>
  <c r="AI11" i="72"/>
  <c r="AI18" i="72" s="1"/>
  <c r="K9" i="54" l="1"/>
  <c r="K11" i="54" s="1"/>
  <c r="K12" i="54" s="1"/>
  <c r="K14" i="54" s="1"/>
  <c r="Z18" i="72"/>
  <c r="AB18" i="72" l="1"/>
  <c r="AB21" i="72" s="1"/>
  <c r="C12" i="55" l="1"/>
  <c r="D10" i="55" s="1"/>
  <c r="D11" i="55"/>
  <c r="D6" i="55" l="1"/>
  <c r="D7" i="55"/>
  <c r="D8" i="55"/>
  <c r="D9" i="55"/>
  <c r="G6" i="71"/>
  <c r="D12" i="55" l="1"/>
</calcChain>
</file>

<file path=xl/sharedStrings.xml><?xml version="1.0" encoding="utf-8"?>
<sst xmlns="http://schemas.openxmlformats.org/spreadsheetml/2006/main" count="223" uniqueCount="169">
  <si>
    <t>NOMINA DE PERSONAL</t>
  </si>
  <si>
    <t>Sucursal:</t>
  </si>
  <si>
    <t>EL SALVADOR</t>
  </si>
  <si>
    <t>No.</t>
  </si>
  <si>
    <t>Codigo</t>
  </si>
  <si>
    <t>Nombre</t>
  </si>
  <si>
    <t>Puesto</t>
  </si>
  <si>
    <t>Salario Mensual</t>
  </si>
  <si>
    <t>Sueldo Diario</t>
  </si>
  <si>
    <t>Días Laborados</t>
  </si>
  <si>
    <t>Devengado</t>
  </si>
  <si>
    <t>Horas Extras</t>
  </si>
  <si>
    <t>Total Monto por Horas Extras</t>
  </si>
  <si>
    <t>VACACIONES</t>
  </si>
  <si>
    <t>Comisiones, Otros Ingresos</t>
  </si>
  <si>
    <t xml:space="preserve">Depreciación </t>
  </si>
  <si>
    <t>TOTAL DEVENGADO</t>
  </si>
  <si>
    <t>Retenciones</t>
  </si>
  <si>
    <t>Descuentos Varios</t>
  </si>
  <si>
    <t>Total Descuentos</t>
  </si>
  <si>
    <t>Líquido a Recibir</t>
  </si>
  <si>
    <t>Transferencia o Cheques</t>
  </si>
  <si>
    <t>APORTE PATRONAL</t>
  </si>
  <si>
    <t>A PAGAR</t>
  </si>
  <si>
    <t>Diurnas</t>
  </si>
  <si>
    <t>Nocturnas</t>
  </si>
  <si>
    <t>Monto H.D.</t>
  </si>
  <si>
    <t>DIAS</t>
  </si>
  <si>
    <t>Monto</t>
  </si>
  <si>
    <t>30% Vacacion</t>
  </si>
  <si>
    <t>ISSS</t>
  </si>
  <si>
    <t>AFP</t>
  </si>
  <si>
    <t>ISR</t>
  </si>
  <si>
    <t>Anticipos</t>
  </si>
  <si>
    <t>AFP´S</t>
  </si>
  <si>
    <t>Departamento:</t>
  </si>
  <si>
    <t>VENTAS</t>
  </si>
  <si>
    <t>CONFIA</t>
  </si>
  <si>
    <t>ES001</t>
  </si>
  <si>
    <t xml:space="preserve">TOTAL PLANILLA </t>
  </si>
  <si>
    <t>Total Planilla a pagar . . .  .</t>
  </si>
  <si>
    <t>F.</t>
  </si>
  <si>
    <t>Elaboró</t>
  </si>
  <si>
    <t>Revisado</t>
  </si>
  <si>
    <t>Autorizado</t>
  </si>
  <si>
    <t>Sueldo</t>
  </si>
  <si>
    <t>AFPS CONFIA</t>
  </si>
  <si>
    <t>I Tramo</t>
  </si>
  <si>
    <t>II Tramo</t>
  </si>
  <si>
    <t>III Tramo</t>
  </si>
  <si>
    <t>Desde</t>
  </si>
  <si>
    <t>Hasta</t>
  </si>
  <si>
    <t>% a Aplicar</t>
  </si>
  <si>
    <t>Sobre el Exceso de</t>
  </si>
  <si>
    <t>Mas Cuota Fija</t>
  </si>
  <si>
    <t>SIN RETENCION</t>
  </si>
  <si>
    <t>En adelante</t>
  </si>
  <si>
    <t>Tabla Retencion ISR 2019 - Mensual</t>
  </si>
  <si>
    <t>IV Tramo</t>
  </si>
  <si>
    <t>Tramo</t>
  </si>
  <si>
    <t>Salarios</t>
  </si>
  <si>
    <t>AGUINALDO</t>
  </si>
  <si>
    <t>Aguinaldo</t>
  </si>
  <si>
    <t>Vacaciones</t>
  </si>
  <si>
    <t>Indemnizacion</t>
  </si>
  <si>
    <t>Total costo mensual</t>
  </si>
  <si>
    <t>Costo empleados</t>
  </si>
  <si>
    <t>Aporte patronal AFP (15%)</t>
  </si>
  <si>
    <t>Aporte patronal ISSS (10.5%)</t>
  </si>
  <si>
    <t>Porcentual</t>
  </si>
  <si>
    <t>Montos</t>
  </si>
  <si>
    <t>Calculo a Julio 2019</t>
  </si>
  <si>
    <t>Aporte Laboral</t>
  </si>
  <si>
    <t>Aporte Patronal</t>
  </si>
  <si>
    <t>Techo maximo de descuento</t>
  </si>
  <si>
    <t>El cálculo se realiza de acuerdo al tiempo de antigüedad que el trabajador tiene de laborar con la misma compañía (1 Vez por año):</t>
  </si>
  <si>
    <t xml:space="preserve">De 1 a 3 años = 15 días de salario </t>
  </si>
  <si>
    <t>De 3 a 10 año = 19 días de salario</t>
  </si>
  <si>
    <t>Más de 10 años = 21 días de salario</t>
  </si>
  <si>
    <t>Únicamente se aplica retenciones de Impuesto Sobre la Renta (ISR)</t>
  </si>
  <si>
    <t xml:space="preserve">Salario </t>
  </si>
  <si>
    <t>15 días</t>
  </si>
  <si>
    <t>Recargo adicional</t>
  </si>
  <si>
    <t>Nota: Se paga al cumplir 1 año de laborar con la misma compañía. Si el tiempo es menor, el cálculo es proporcional (una vez por año). Se aplican todas retenciones (ISSS, AFP´S, RENTA).</t>
  </si>
  <si>
    <t xml:space="preserve">Cuentas contables . . . </t>
  </si>
  <si>
    <t>Fecha</t>
  </si>
  <si>
    <t>ES003</t>
  </si>
  <si>
    <t>CRECER</t>
  </si>
  <si>
    <t>Recibo por:</t>
  </si>
  <si>
    <t>Salario</t>
  </si>
  <si>
    <t>Depreciación y Gasolina</t>
  </si>
  <si>
    <t xml:space="preserve">Vacaciones 30% </t>
  </si>
  <si>
    <t>Horas Extras Diurnas</t>
  </si>
  <si>
    <t>Horas Extras Nocturnas</t>
  </si>
  <si>
    <t>Reintegro gastos</t>
  </si>
  <si>
    <t>Menos</t>
  </si>
  <si>
    <t>Vialidad Alcandia MSS</t>
  </si>
  <si>
    <t>FSV</t>
  </si>
  <si>
    <t>BANCOS</t>
  </si>
  <si>
    <t>TAXIS</t>
  </si>
  <si>
    <t>TELEFONO</t>
  </si>
  <si>
    <t>OTROS</t>
  </si>
  <si>
    <t>TOTAL A RECIBIR</t>
  </si>
  <si>
    <t>Empleado:</t>
  </si>
  <si>
    <t>Factura N°.</t>
  </si>
  <si>
    <t>Proveedor</t>
  </si>
  <si>
    <t>Concepto</t>
  </si>
  <si>
    <t xml:space="preserve">Total . . . </t>
  </si>
  <si>
    <t>Reintegros y Otros</t>
  </si>
  <si>
    <t>Total  Ingresos</t>
  </si>
  <si>
    <t xml:space="preserve">REINTEGROS SEGUNDA QUINCENA </t>
  </si>
  <si>
    <t xml:space="preserve">en concepto de salario correspondiente a la segunda quincena del mes </t>
  </si>
  <si>
    <t>TELEMOVIL ES, S.A.</t>
  </si>
  <si>
    <t xml:space="preserve">SEGUNDA QUINCENA </t>
  </si>
  <si>
    <t>Otros (Prestamos ajenos)</t>
  </si>
  <si>
    <t>Bono o comision</t>
  </si>
  <si>
    <t>TELEFONICA MOVILES DE EL SALVADOR</t>
  </si>
  <si>
    <t>FORZA ENERGY, S.A. DE C.V.</t>
  </si>
  <si>
    <t>ALFREDO ANTONIO RODRIGUEZ</t>
  </si>
  <si>
    <t>COMBUSTIBLE 1ER. QUINCENA ENERO 2023</t>
  </si>
  <si>
    <t>ECSA OPERADORA DE EL SALVADOR</t>
  </si>
  <si>
    <t>TELEFONIA MOVIL DICIEMBRE DE 2022</t>
  </si>
  <si>
    <t>COMBUSTIBLE 1ER QUINCENA ENERO DE 2023</t>
  </si>
  <si>
    <t>LUIGEMI, S.A. DE C.V.</t>
  </si>
  <si>
    <t>COMBUSTIBLE 2DA QUINCENA ENERO DE 2023</t>
  </si>
  <si>
    <t>COMBUSTIBLE 2DA. QUINCENA ENERO 2023</t>
  </si>
  <si>
    <t>Base para calcular ISR</t>
  </si>
  <si>
    <t>Menos Monto fijo</t>
  </si>
  <si>
    <t>Exceso II Tramo</t>
  </si>
  <si>
    <t>CuotaFija</t>
  </si>
  <si>
    <t>ISR a descontar</t>
  </si>
  <si>
    <t>De Enero 2023</t>
  </si>
  <si>
    <t>Hasta Diciembre 2022</t>
  </si>
  <si>
    <t>2022 Aguinaldo exento de ISR hasta un maximo de $1,500.00 Decreto Legislativo 596, D.O. 437 del 7 de diciembre de 2022</t>
  </si>
  <si>
    <t>EL ÉXITO Y MAS, S.A. DE C.V.</t>
  </si>
  <si>
    <t>MES DE XXXXX DE 202X</t>
  </si>
  <si>
    <t>Empleado 1</t>
  </si>
  <si>
    <t>ES002</t>
  </si>
  <si>
    <t>ES004</t>
  </si>
  <si>
    <t>ES005</t>
  </si>
  <si>
    <t>ES006</t>
  </si>
  <si>
    <t>ES007</t>
  </si>
  <si>
    <t>Empleado 2</t>
  </si>
  <si>
    <t>Empleado 3</t>
  </si>
  <si>
    <t>Empleado 4</t>
  </si>
  <si>
    <t>Empleado 5</t>
  </si>
  <si>
    <t>Gerente General</t>
  </si>
  <si>
    <t>Contador General</t>
  </si>
  <si>
    <t>Asistente administrativo</t>
  </si>
  <si>
    <t>Monto H.N.</t>
  </si>
  <si>
    <t>Encargado de elborar planilla</t>
  </si>
  <si>
    <t>Encargado de Revisar planilla</t>
  </si>
  <si>
    <t>Encargado de Autorizar planilla</t>
  </si>
  <si>
    <t>Motorista</t>
  </si>
  <si>
    <t>Banco Cta.#</t>
  </si>
  <si>
    <t>Asistente Financiero</t>
  </si>
  <si>
    <t>Se eliminò techo</t>
  </si>
  <si>
    <t>MES: XXXX DE 202X</t>
  </si>
  <si>
    <t>EMPLEADO 1</t>
  </si>
  <si>
    <t>EMPLEADO 2</t>
  </si>
  <si>
    <t>XXX1</t>
  </si>
  <si>
    <t>XXX2</t>
  </si>
  <si>
    <t>XXX3</t>
  </si>
  <si>
    <t>XXX4</t>
  </si>
  <si>
    <t>TELEFONIA MOVIL MES DICIEMBRE DE 2023</t>
  </si>
  <si>
    <t xml:space="preserve">Recibi de EL ÉXITO Y MAS, S.A. DE C.V. la cantidad de </t>
  </si>
  <si>
    <t>XXXX de 202X, según el detalle siguiente:</t>
  </si>
  <si>
    <t>San Salvador, 31 del mes xxxx de 202x</t>
  </si>
  <si>
    <t>NIT: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</si>
</sst>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  <numFmt numFmtId="167" formatCode="[$$-409]#,##0.00"/>
    <numFmt numFmtId="168" formatCode="[$$-440A]#,##0.00"/>
    <numFmt numFmtId="169" formatCode="_([$$-440A]* #,##0.00_);_([$$-440A]* \(#,##0.00\);_([$$-440A]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0"/>
      <name val="Arial Narrow"/>
      <family val="2"/>
    </font>
    <font>
      <sz val="13"/>
      <name val="Arial"/>
      <family val="2"/>
    </font>
    <font>
      <b/>
      <sz val="12"/>
      <name val="Arial"/>
      <family val="2"/>
    </font>
    <font>
      <b/>
      <sz val="13"/>
      <name val="Arial Narrow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2"/>
      <name val="Arial Narrow"/>
      <family val="2"/>
    </font>
    <font>
      <sz val="13"/>
      <name val="Arial Narrow"/>
      <family val="2"/>
    </font>
    <font>
      <b/>
      <sz val="13"/>
      <name val="Constantia"/>
      <family val="1"/>
    </font>
    <font>
      <b/>
      <u/>
      <sz val="13"/>
      <name val="Constantia"/>
      <family val="1"/>
    </font>
    <font>
      <b/>
      <sz val="10"/>
      <color theme="0"/>
      <name val="Arial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1"/>
      <name val="Calibri"/>
      <family val="2"/>
    </font>
    <font>
      <sz val="11"/>
      <name val="Trebuchet MS"/>
      <family val="2"/>
    </font>
    <font>
      <b/>
      <i/>
      <sz val="15"/>
      <color rgb="FF000000"/>
      <name val="Cambria"/>
      <family val="1"/>
    </font>
    <font>
      <sz val="15"/>
      <name val="Arial"/>
      <family val="2"/>
    </font>
    <font>
      <sz val="9"/>
      <color rgb="FF000000"/>
      <name val="Goudy Old Style"/>
      <family val="1"/>
    </font>
    <font>
      <sz val="10"/>
      <color rgb="FF000000"/>
      <name val="Goudy Old Style"/>
      <family val="1"/>
    </font>
    <font>
      <sz val="12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sz val="10"/>
      <color theme="0"/>
      <name val="Arial"/>
      <family val="2"/>
    </font>
    <font>
      <b/>
      <sz val="15"/>
      <name val="Arial"/>
      <family val="2"/>
    </font>
    <font>
      <sz val="8"/>
      <name val="Arial"/>
      <family val="2"/>
    </font>
    <font>
      <b/>
      <sz val="9"/>
      <color rgb="FF000000"/>
      <name val="Goud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0" fillId="0" borderId="0" xfId="0" applyAlignment="1">
      <alignment horizontal="center"/>
    </xf>
    <xf numFmtId="166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16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right"/>
    </xf>
    <xf numFmtId="2" fontId="5" fillId="0" borderId="1" xfId="0" applyNumberFormat="1" applyFont="1" applyBorder="1"/>
    <xf numFmtId="0" fontId="8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9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2" xfId="0" applyFont="1" applyBorder="1"/>
    <xf numFmtId="0" fontId="12" fillId="0" borderId="12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right"/>
    </xf>
    <xf numFmtId="164" fontId="12" fillId="0" borderId="0" xfId="0" applyNumberFormat="1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164" fontId="11" fillId="0" borderId="0" xfId="0" applyNumberFormat="1" applyFont="1"/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6" fontId="11" fillId="0" borderId="0" xfId="0" applyNumberFormat="1" applyFont="1"/>
    <xf numFmtId="1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0" fontId="15" fillId="0" borderId="0" xfId="0" applyFont="1" applyAlignment="1">
      <alignment horizontal="center"/>
    </xf>
    <xf numFmtId="166" fontId="15" fillId="0" borderId="0" xfId="0" applyNumberFormat="1" applyFont="1"/>
    <xf numFmtId="0" fontId="16" fillId="0" borderId="0" xfId="0" applyFont="1" applyAlignment="1">
      <alignment horizontal="center"/>
    </xf>
    <xf numFmtId="167" fontId="12" fillId="2" borderId="13" xfId="0" applyNumberFormat="1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167" fontId="18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167" fontId="2" fillId="0" borderId="2" xfId="0" applyNumberFormat="1" applyFont="1" applyBorder="1"/>
    <xf numFmtId="0" fontId="20" fillId="0" borderId="0" xfId="0" applyFont="1" applyAlignment="1">
      <alignment horizontal="center"/>
    </xf>
    <xf numFmtId="164" fontId="16" fillId="0" borderId="0" xfId="0" applyNumberFormat="1" applyFont="1"/>
    <xf numFmtId="164" fontId="2" fillId="0" borderId="2" xfId="0" applyNumberFormat="1" applyFont="1" applyBorder="1"/>
    <xf numFmtId="167" fontId="4" fillId="0" borderId="0" xfId="0" applyNumberFormat="1" applyFont="1"/>
    <xf numFmtId="10" fontId="0" fillId="0" borderId="0" xfId="0" applyNumberFormat="1"/>
    <xf numFmtId="9" fontId="0" fillId="0" borderId="0" xfId="0" applyNumberFormat="1"/>
    <xf numFmtId="166" fontId="0" fillId="0" borderId="0" xfId="0" applyNumberFormat="1"/>
    <xf numFmtId="0" fontId="11" fillId="0" borderId="0" xfId="0" applyFont="1" applyAlignment="1">
      <alignment horizontal="center" wrapText="1"/>
    </xf>
    <xf numFmtId="0" fontId="0" fillId="0" borderId="2" xfId="0" applyBorder="1"/>
    <xf numFmtId="166" fontId="0" fillId="0" borderId="2" xfId="0" applyNumberFormat="1" applyBorder="1"/>
    <xf numFmtId="9" fontId="0" fillId="0" borderId="2" xfId="0" applyNumberFormat="1" applyBorder="1"/>
    <xf numFmtId="0" fontId="0" fillId="0" borderId="11" xfId="0" applyBorder="1"/>
    <xf numFmtId="166" fontId="0" fillId="0" borderId="11" xfId="0" applyNumberFormat="1" applyBorder="1"/>
    <xf numFmtId="0" fontId="11" fillId="0" borderId="14" xfId="0" applyFont="1" applyBorder="1" applyAlignment="1">
      <alignment horizontal="center" wrapText="1"/>
    </xf>
    <xf numFmtId="9" fontId="11" fillId="0" borderId="14" xfId="0" applyNumberFormat="1" applyFont="1" applyBorder="1" applyAlignment="1">
      <alignment horizontal="center" wrapText="1"/>
    </xf>
    <xf numFmtId="166" fontId="11" fillId="0" borderId="14" xfId="0" applyNumberFormat="1" applyFont="1" applyBorder="1" applyAlignment="1">
      <alignment horizontal="center" wrapText="1"/>
    </xf>
    <xf numFmtId="167" fontId="0" fillId="0" borderId="0" xfId="0" applyNumberFormat="1"/>
    <xf numFmtId="164" fontId="0" fillId="0" borderId="0" xfId="1" applyFont="1"/>
    <xf numFmtId="164" fontId="11" fillId="0" borderId="0" xfId="1" applyFont="1"/>
    <xf numFmtId="9" fontId="0" fillId="0" borderId="0" xfId="2" applyFont="1"/>
    <xf numFmtId="9" fontId="11" fillId="0" borderId="0" xfId="2" applyFont="1"/>
    <xf numFmtId="164" fontId="11" fillId="0" borderId="0" xfId="1" applyFont="1" applyAlignment="1">
      <alignment horizontal="center"/>
    </xf>
    <xf numFmtId="9" fontId="11" fillId="0" borderId="0" xfId="2" applyFont="1" applyAlignment="1">
      <alignment horizontal="center"/>
    </xf>
    <xf numFmtId="0" fontId="22" fillId="0" borderId="0" xfId="0" applyFont="1"/>
    <xf numFmtId="10" fontId="2" fillId="0" borderId="0" xfId="0" applyNumberFormat="1" applyFont="1" applyAlignment="1">
      <alignment horizontal="right"/>
    </xf>
    <xf numFmtId="4" fontId="0" fillId="0" borderId="0" xfId="0" applyNumberFormat="1"/>
    <xf numFmtId="4" fontId="4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23" fillId="0" borderId="0" xfId="6" applyFont="1"/>
    <xf numFmtId="0" fontId="24" fillId="0" borderId="0" xfId="6" applyFont="1" applyAlignment="1">
      <alignment horizontal="center"/>
    </xf>
    <xf numFmtId="0" fontId="25" fillId="0" borderId="0" xfId="6" applyFont="1"/>
    <xf numFmtId="0" fontId="2" fillId="0" borderId="0" xfId="6"/>
    <xf numFmtId="0" fontId="26" fillId="0" borderId="0" xfId="6" applyFont="1"/>
    <xf numFmtId="0" fontId="27" fillId="0" borderId="0" xfId="6" applyFont="1" applyAlignment="1">
      <alignment horizontal="center"/>
    </xf>
    <xf numFmtId="0" fontId="23" fillId="0" borderId="0" xfId="6" applyFont="1" applyAlignment="1">
      <alignment horizontal="center"/>
    </xf>
    <xf numFmtId="168" fontId="23" fillId="0" borderId="0" xfId="6" applyNumberFormat="1" applyFont="1" applyAlignment="1">
      <alignment horizontal="center"/>
    </xf>
    <xf numFmtId="0" fontId="28" fillId="0" borderId="0" xfId="6" applyFont="1"/>
    <xf numFmtId="169" fontId="23" fillId="0" borderId="0" xfId="6" applyNumberFormat="1" applyFont="1"/>
    <xf numFmtId="0" fontId="29" fillId="0" borderId="0" xfId="6" applyFont="1"/>
    <xf numFmtId="168" fontId="29" fillId="0" borderId="0" xfId="6" applyNumberFormat="1" applyFont="1"/>
    <xf numFmtId="0" fontId="30" fillId="0" borderId="0" xfId="6" applyFont="1"/>
    <xf numFmtId="168" fontId="30" fillId="0" borderId="0" xfId="6" applyNumberFormat="1" applyFont="1"/>
    <xf numFmtId="168" fontId="23" fillId="0" borderId="0" xfId="6" applyNumberFormat="1" applyFont="1"/>
    <xf numFmtId="164" fontId="0" fillId="0" borderId="0" xfId="7" applyFont="1"/>
    <xf numFmtId="0" fontId="5" fillId="0" borderId="0" xfId="6" applyFont="1"/>
    <xf numFmtId="0" fontId="11" fillId="0" borderId="0" xfId="6" applyFont="1"/>
    <xf numFmtId="0" fontId="11" fillId="0" borderId="0" xfId="6" applyFont="1" applyAlignment="1">
      <alignment horizontal="center"/>
    </xf>
    <xf numFmtId="164" fontId="11" fillId="0" borderId="0" xfId="7" applyFont="1" applyAlignment="1">
      <alignment horizontal="center"/>
    </xf>
    <xf numFmtId="0" fontId="2" fillId="0" borderId="0" xfId="6" applyAlignment="1">
      <alignment horizontal="center"/>
    </xf>
    <xf numFmtId="14" fontId="2" fillId="0" borderId="0" xfId="6" applyNumberFormat="1"/>
    <xf numFmtId="49" fontId="2" fillId="0" borderId="0" xfId="6" applyNumberFormat="1" applyAlignment="1">
      <alignment horizontal="center"/>
    </xf>
    <xf numFmtId="164" fontId="11" fillId="0" borderId="0" xfId="7" applyFont="1"/>
    <xf numFmtId="164" fontId="0" fillId="0" borderId="1" xfId="7" applyFont="1" applyBorder="1"/>
    <xf numFmtId="0" fontId="19" fillId="0" borderId="0" xfId="0" applyFont="1"/>
    <xf numFmtId="164" fontId="31" fillId="0" borderId="0" xfId="0" applyNumberFormat="1" applyFont="1" applyAlignment="1">
      <alignment horizontal="right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/>
    <xf numFmtId="1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167" fontId="2" fillId="2" borderId="0" xfId="0" applyNumberFormat="1" applyFont="1" applyFill="1" applyAlignment="1">
      <alignment horizontal="center"/>
    </xf>
    <xf numFmtId="164" fontId="0" fillId="0" borderId="0" xfId="7" applyFont="1" applyFill="1"/>
    <xf numFmtId="164" fontId="11" fillId="0" borderId="0" xfId="1" applyFont="1" applyAlignment="1">
      <alignment horizontal="center" wrapText="1"/>
    </xf>
    <xf numFmtId="166" fontId="11" fillId="0" borderId="0" xfId="0" applyNumberFormat="1" applyFont="1" applyAlignment="1">
      <alignment horizontal="center" wrapText="1"/>
    </xf>
    <xf numFmtId="9" fontId="0" fillId="0" borderId="0" xfId="0" applyNumberFormat="1" applyAlignment="1">
      <alignment horizontal="center" wrapText="1"/>
    </xf>
    <xf numFmtId="0" fontId="34" fillId="0" borderId="0" xfId="0" applyFont="1" applyProtection="1">
      <protection locked="0"/>
    </xf>
    <xf numFmtId="0" fontId="17" fillId="0" borderId="0" xfId="0" applyFont="1" applyAlignment="1"/>
    <xf numFmtId="0" fontId="16" fillId="0" borderId="0" xfId="0" applyFont="1" applyAlignment="1"/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7" fontId="2" fillId="0" borderId="2" xfId="0" applyNumberFormat="1" applyFont="1" applyBorder="1" applyAlignment="1" applyProtection="1">
      <alignment horizontal="right"/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3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0" xfId="0" applyFont="1" applyAlignment="1">
      <alignment horizontal="left"/>
    </xf>
    <xf numFmtId="0" fontId="36" fillId="0" borderId="0" xfId="6" applyFont="1"/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167" fontId="11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top" wrapText="1"/>
    </xf>
  </cellXfs>
  <cellStyles count="8">
    <cellStyle name="Millares 2" xfId="5"/>
    <cellStyle name="Moneda" xfId="1" builtinId="4"/>
    <cellStyle name="Moneda 2" xfId="4"/>
    <cellStyle name="Moneda 3" xfId="7"/>
    <cellStyle name="Normal" xfId="0" builtinId="0"/>
    <cellStyle name="Normal 2" xfId="3"/>
    <cellStyle name="Normal 2 2" xfId="6"/>
    <cellStyle name="Porcentaje" xfId="2" builtinId="5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J35"/>
  <sheetViews>
    <sheetView tabSelected="1" zoomScale="90" zoomScaleNormal="90" workbookViewId="0"/>
  </sheetViews>
  <sheetFormatPr baseColWidth="10" defaultColWidth="9.140625" defaultRowHeight="12.75" x14ac:dyDescent="0.2"/>
  <cols>
    <col min="1" max="1" width="2.42578125" customWidth="1"/>
    <col min="2" max="2" width="4.5703125" customWidth="1"/>
    <col min="3" max="3" width="7.7109375" customWidth="1"/>
    <col min="4" max="4" width="30.5703125" customWidth="1"/>
    <col min="5" max="5" width="28" customWidth="1"/>
    <col min="6" max="6" width="12.7109375" customWidth="1"/>
    <col min="7" max="7" width="11.7109375" customWidth="1"/>
    <col min="8" max="8" width="10.42578125" customWidth="1"/>
    <col min="9" max="9" width="11.140625" customWidth="1"/>
    <col min="10" max="11" width="9.140625" customWidth="1"/>
    <col min="12" max="12" width="10.28515625" customWidth="1"/>
    <col min="13" max="13" width="9.140625" customWidth="1"/>
    <col min="14" max="14" width="14.5703125" style="151" customWidth="1"/>
    <col min="15" max="15" width="5.42578125" customWidth="1"/>
    <col min="16" max="16" width="11" customWidth="1"/>
    <col min="17" max="17" width="9.140625" customWidth="1"/>
    <col min="18" max="18" width="13.28515625" customWidth="1"/>
    <col min="19" max="19" width="13.140625" customWidth="1"/>
    <col min="20" max="20" width="13.42578125" customWidth="1"/>
    <col min="21" max="21" width="9.5703125" bestFit="1" customWidth="1"/>
    <col min="22" max="22" width="15" bestFit="1" customWidth="1"/>
    <col min="23" max="23" width="11.140625" bestFit="1" customWidth="1"/>
    <col min="24" max="24" width="9.5703125" bestFit="1" customWidth="1"/>
    <col min="25" max="25" width="24.7109375" bestFit="1" customWidth="1"/>
    <col min="26" max="26" width="21.28515625" bestFit="1" customWidth="1"/>
    <col min="27" max="27" width="18.140625" bestFit="1" customWidth="1"/>
    <col min="28" max="28" width="16.7109375" bestFit="1" customWidth="1"/>
    <col min="29" max="29" width="24.140625" bestFit="1" customWidth="1"/>
    <col min="30" max="30" width="1.140625" customWidth="1"/>
    <col min="31" max="31" width="9.28515625" bestFit="1" customWidth="1"/>
    <col min="32" max="34" width="9.5703125" bestFit="1" customWidth="1"/>
    <col min="35" max="35" width="13.5703125" bestFit="1" customWidth="1"/>
    <col min="36" max="36" width="9.140625" customWidth="1"/>
  </cols>
  <sheetData>
    <row r="1" spans="1:36" ht="23.25" x14ac:dyDescent="0.35">
      <c r="A1" s="7"/>
      <c r="B1" s="141" t="s">
        <v>134</v>
      </c>
      <c r="C1" s="1"/>
      <c r="D1" s="1"/>
      <c r="E1" s="2"/>
      <c r="F1" s="3"/>
      <c r="G1" s="3"/>
      <c r="H1" s="3"/>
      <c r="I1" s="4"/>
      <c r="J1" s="5"/>
      <c r="K1" s="4"/>
      <c r="L1" s="5"/>
      <c r="M1" s="6"/>
      <c r="N1" s="14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7"/>
      <c r="AE1" s="7"/>
      <c r="AF1" s="7"/>
      <c r="AG1" s="7"/>
      <c r="AH1" s="7"/>
      <c r="AI1" s="7"/>
    </row>
    <row r="2" spans="1:36" ht="18" x14ac:dyDescent="0.25">
      <c r="A2" s="7"/>
      <c r="B2" s="8" t="s">
        <v>0</v>
      </c>
      <c r="C2" s="9"/>
      <c r="D2" s="9"/>
      <c r="E2" s="10"/>
      <c r="F2" s="3"/>
      <c r="G2" s="3"/>
      <c r="H2" s="3"/>
      <c r="I2" s="4"/>
      <c r="J2" s="5"/>
      <c r="K2" s="4"/>
      <c r="L2" s="5"/>
      <c r="M2" s="6"/>
      <c r="N2" s="144"/>
      <c r="O2" s="6"/>
      <c r="P2" s="6"/>
      <c r="Q2" s="6"/>
      <c r="R2" s="6"/>
      <c r="S2" s="6"/>
      <c r="T2" s="6"/>
      <c r="U2" s="11"/>
      <c r="V2" s="11"/>
      <c r="W2" s="6"/>
      <c r="X2" s="6"/>
      <c r="Y2" s="6"/>
      <c r="Z2" s="6"/>
      <c r="AA2" s="6"/>
      <c r="AB2" s="6"/>
      <c r="AC2" s="7"/>
      <c r="AD2" s="7"/>
      <c r="AE2" s="7"/>
      <c r="AF2" s="7"/>
      <c r="AG2" s="7"/>
      <c r="AH2" s="7"/>
      <c r="AI2" s="7"/>
    </row>
    <row r="3" spans="1:36" ht="16.5" x14ac:dyDescent="0.25">
      <c r="A3" s="13"/>
      <c r="B3" s="12" t="s">
        <v>135</v>
      </c>
      <c r="C3" s="8"/>
      <c r="D3" s="13"/>
      <c r="E3" s="14" t="s">
        <v>1</v>
      </c>
      <c r="F3" s="15" t="s">
        <v>2</v>
      </c>
      <c r="G3" s="16"/>
      <c r="H3" s="16"/>
      <c r="I3" s="17"/>
      <c r="J3" s="18"/>
      <c r="K3" s="17"/>
      <c r="L3" s="18"/>
      <c r="M3" s="19"/>
      <c r="N3" s="145"/>
      <c r="O3" s="19"/>
      <c r="P3" s="19"/>
      <c r="Q3" s="19"/>
      <c r="R3" s="19"/>
      <c r="S3" s="19"/>
      <c r="T3" s="19"/>
      <c r="U3" s="20"/>
      <c r="V3" s="3"/>
      <c r="W3" s="3"/>
      <c r="X3" s="19"/>
      <c r="Y3" s="19"/>
      <c r="Z3" s="19"/>
      <c r="AA3" s="19"/>
      <c r="AB3" s="19"/>
      <c r="AC3" s="13"/>
      <c r="AD3" s="13"/>
      <c r="AE3" s="13"/>
      <c r="AF3" s="13"/>
      <c r="AG3" s="13"/>
      <c r="AH3" s="13"/>
      <c r="AI3" s="13"/>
    </row>
    <row r="4" spans="1:36" ht="16.5" x14ac:dyDescent="0.25">
      <c r="A4" s="13"/>
      <c r="B4" s="12" t="s">
        <v>113</v>
      </c>
      <c r="C4" s="21"/>
      <c r="D4" s="21"/>
      <c r="E4" s="22"/>
      <c r="F4" s="16"/>
      <c r="G4" s="16"/>
      <c r="H4" s="16"/>
      <c r="I4" s="17"/>
      <c r="J4" s="18"/>
      <c r="K4" s="17"/>
      <c r="L4" s="18"/>
      <c r="M4" s="19"/>
      <c r="N4" s="145"/>
      <c r="O4" s="19"/>
      <c r="P4" s="19"/>
      <c r="Q4" s="19"/>
      <c r="R4" s="19"/>
      <c r="S4" s="19"/>
      <c r="T4" s="19"/>
      <c r="U4" s="20"/>
      <c r="V4" s="3"/>
      <c r="W4" s="3"/>
      <c r="X4" s="19"/>
      <c r="Y4" s="19"/>
      <c r="Z4" s="19"/>
      <c r="AA4" s="19"/>
      <c r="AB4" s="19"/>
      <c r="AC4" s="13"/>
      <c r="AD4" s="13"/>
      <c r="AE4" s="13"/>
      <c r="AF4" s="13"/>
      <c r="AG4" s="13"/>
      <c r="AH4" s="13"/>
      <c r="AI4" s="13"/>
    </row>
    <row r="5" spans="1:36" ht="16.5" x14ac:dyDescent="0.25">
      <c r="A5" s="13"/>
      <c r="B5" s="12"/>
      <c r="C5" s="21"/>
      <c r="D5" s="21"/>
      <c r="E5" s="22"/>
      <c r="F5" s="16"/>
      <c r="G5" s="16"/>
      <c r="H5" s="16"/>
      <c r="I5" s="17"/>
      <c r="J5" s="18"/>
      <c r="K5" s="17"/>
      <c r="L5" s="18"/>
      <c r="M5" s="19"/>
      <c r="N5" s="145"/>
      <c r="O5" s="19"/>
      <c r="P5" s="19"/>
      <c r="Q5" s="19"/>
      <c r="R5" s="19"/>
      <c r="S5" s="19"/>
      <c r="T5" s="19"/>
      <c r="U5" s="20"/>
      <c r="V5" s="3"/>
      <c r="W5" s="3"/>
      <c r="X5" s="19"/>
      <c r="Y5" s="19"/>
      <c r="Z5" s="19"/>
      <c r="AA5" s="19"/>
      <c r="AB5" s="19"/>
      <c r="AC5" s="13"/>
      <c r="AD5" s="13"/>
      <c r="AE5" s="13"/>
      <c r="AF5" s="13"/>
      <c r="AG5" s="13"/>
      <c r="AH5" s="13"/>
      <c r="AI5" s="13"/>
    </row>
    <row r="6" spans="1:36" ht="15" customHeight="1" x14ac:dyDescent="0.2">
      <c r="A6" s="25"/>
      <c r="B6" s="23">
        <v>1</v>
      </c>
      <c r="C6" s="23">
        <v>2</v>
      </c>
      <c r="D6" s="23">
        <v>3</v>
      </c>
      <c r="E6" s="23">
        <v>4</v>
      </c>
      <c r="F6" s="23">
        <v>5</v>
      </c>
      <c r="G6" s="23">
        <v>6</v>
      </c>
      <c r="H6" s="23">
        <v>7</v>
      </c>
      <c r="I6" s="23">
        <v>8</v>
      </c>
      <c r="J6" s="24">
        <v>9</v>
      </c>
      <c r="K6" s="23">
        <v>10</v>
      </c>
      <c r="L6" s="24">
        <v>11</v>
      </c>
      <c r="M6" s="23">
        <v>12</v>
      </c>
      <c r="N6" s="146">
        <v>13</v>
      </c>
      <c r="O6" s="23">
        <v>14</v>
      </c>
      <c r="P6" s="23">
        <v>15</v>
      </c>
      <c r="Q6" s="23">
        <v>16</v>
      </c>
      <c r="R6" s="23">
        <v>18</v>
      </c>
      <c r="S6" s="23">
        <v>19</v>
      </c>
      <c r="T6" s="23">
        <v>20</v>
      </c>
      <c r="U6" s="23">
        <v>21</v>
      </c>
      <c r="V6" s="23">
        <v>22</v>
      </c>
      <c r="W6" s="23">
        <v>23</v>
      </c>
      <c r="X6" s="23">
        <v>24</v>
      </c>
      <c r="Y6" s="23">
        <v>25</v>
      </c>
      <c r="Z6" s="23">
        <v>26</v>
      </c>
      <c r="AA6" s="23">
        <v>27</v>
      </c>
      <c r="AB6" s="23">
        <v>29</v>
      </c>
      <c r="AC6" s="23">
        <v>30</v>
      </c>
      <c r="AD6" s="23"/>
      <c r="AE6" s="23">
        <v>31</v>
      </c>
      <c r="AF6" s="23">
        <v>32</v>
      </c>
      <c r="AG6" s="23">
        <v>33</v>
      </c>
      <c r="AH6" s="23">
        <v>34</v>
      </c>
      <c r="AI6" s="23">
        <v>35</v>
      </c>
    </row>
    <row r="7" spans="1:36" ht="4.9000000000000004" customHeight="1" thickBot="1" x14ac:dyDescent="0.25">
      <c r="A7" s="25"/>
      <c r="B7" s="23"/>
      <c r="C7" s="23"/>
      <c r="D7" s="23"/>
      <c r="E7" s="23"/>
      <c r="F7" s="23"/>
      <c r="G7" s="23"/>
      <c r="H7" s="23"/>
      <c r="I7" s="23"/>
      <c r="J7" s="24"/>
      <c r="K7" s="23"/>
      <c r="L7" s="24"/>
      <c r="M7" s="23"/>
      <c r="N7" s="146"/>
      <c r="O7" s="23"/>
      <c r="P7" s="23"/>
      <c r="Q7" s="23"/>
      <c r="R7" s="23"/>
      <c r="S7" s="23"/>
      <c r="T7" s="23"/>
      <c r="U7" s="23"/>
      <c r="V7" s="26"/>
      <c r="W7" s="26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6" ht="24" customHeight="1" thickBot="1" x14ac:dyDescent="0.25">
      <c r="A8" s="27"/>
      <c r="B8" s="163" t="s">
        <v>3</v>
      </c>
      <c r="C8" s="163" t="s">
        <v>4</v>
      </c>
      <c r="D8" s="163" t="s">
        <v>5</v>
      </c>
      <c r="E8" s="157" t="s">
        <v>6</v>
      </c>
      <c r="F8" s="157" t="s">
        <v>7</v>
      </c>
      <c r="G8" s="157" t="s">
        <v>8</v>
      </c>
      <c r="H8" s="157" t="s">
        <v>9</v>
      </c>
      <c r="I8" s="159" t="s">
        <v>10</v>
      </c>
      <c r="J8" s="154" t="s">
        <v>11</v>
      </c>
      <c r="K8" s="160"/>
      <c r="L8" s="160"/>
      <c r="M8" s="156"/>
      <c r="N8" s="161" t="s">
        <v>12</v>
      </c>
      <c r="O8" s="154" t="s">
        <v>13</v>
      </c>
      <c r="P8" s="155"/>
      <c r="Q8" s="156"/>
      <c r="R8" s="163" t="s">
        <v>14</v>
      </c>
      <c r="S8" s="163" t="s">
        <v>15</v>
      </c>
      <c r="T8" s="159" t="s">
        <v>16</v>
      </c>
      <c r="U8" s="164" t="s">
        <v>17</v>
      </c>
      <c r="V8" s="165"/>
      <c r="W8" s="166"/>
      <c r="X8" s="154" t="s">
        <v>18</v>
      </c>
      <c r="Y8" s="156"/>
      <c r="Z8" s="176" t="s">
        <v>19</v>
      </c>
      <c r="AA8" s="169" t="s">
        <v>108</v>
      </c>
      <c r="AB8" s="163" t="s">
        <v>20</v>
      </c>
      <c r="AC8" s="169" t="s">
        <v>21</v>
      </c>
      <c r="AD8" s="94"/>
      <c r="AE8" s="125"/>
      <c r="AF8" s="172" t="s">
        <v>22</v>
      </c>
      <c r="AG8" s="173"/>
      <c r="AH8" s="174" t="s">
        <v>23</v>
      </c>
      <c r="AI8" s="175"/>
    </row>
    <row r="9" spans="1:36" ht="23.25" customHeight="1" x14ac:dyDescent="0.2">
      <c r="A9" s="30"/>
      <c r="B9" s="158"/>
      <c r="C9" s="158"/>
      <c r="D9" s="158"/>
      <c r="E9" s="158"/>
      <c r="F9" s="158"/>
      <c r="G9" s="158"/>
      <c r="H9" s="158"/>
      <c r="I9" s="158"/>
      <c r="J9" s="28" t="s">
        <v>24</v>
      </c>
      <c r="K9" s="29" t="s">
        <v>26</v>
      </c>
      <c r="L9" s="28" t="s">
        <v>25</v>
      </c>
      <c r="M9" s="29" t="s">
        <v>149</v>
      </c>
      <c r="N9" s="162"/>
      <c r="O9" s="29" t="s">
        <v>27</v>
      </c>
      <c r="P9" s="29" t="s">
        <v>28</v>
      </c>
      <c r="Q9" s="29" t="s">
        <v>29</v>
      </c>
      <c r="R9" s="158"/>
      <c r="S9" s="158"/>
      <c r="T9" s="158"/>
      <c r="U9" s="29" t="s">
        <v>30</v>
      </c>
      <c r="V9" s="29" t="s">
        <v>31</v>
      </c>
      <c r="W9" s="29" t="s">
        <v>32</v>
      </c>
      <c r="X9" s="29" t="s">
        <v>33</v>
      </c>
      <c r="Y9" s="29" t="s">
        <v>114</v>
      </c>
      <c r="Z9" s="158"/>
      <c r="AA9" s="170"/>
      <c r="AB9" s="158"/>
      <c r="AC9" s="171"/>
      <c r="AD9" s="94"/>
      <c r="AE9" s="94" t="s">
        <v>31</v>
      </c>
      <c r="AF9" s="94" t="s">
        <v>30</v>
      </c>
      <c r="AG9" s="94" t="s">
        <v>34</v>
      </c>
      <c r="AH9" s="94" t="s">
        <v>30</v>
      </c>
      <c r="AI9" s="94" t="s">
        <v>46</v>
      </c>
    </row>
    <row r="10" spans="1:36" x14ac:dyDescent="0.2">
      <c r="A10" s="7"/>
      <c r="B10" s="31" t="s">
        <v>35</v>
      </c>
      <c r="C10" s="64"/>
      <c r="D10" s="32" t="s">
        <v>36</v>
      </c>
      <c r="E10" s="69"/>
      <c r="F10" s="128"/>
      <c r="G10" s="128"/>
      <c r="H10" s="127"/>
      <c r="I10" s="129"/>
      <c r="J10" s="130"/>
      <c r="K10" s="131"/>
      <c r="L10" s="130"/>
      <c r="M10" s="132"/>
      <c r="N10" s="147"/>
      <c r="O10" s="134"/>
      <c r="P10" s="135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65"/>
      <c r="AD10" s="65"/>
      <c r="AE10" s="65"/>
      <c r="AF10" s="66"/>
      <c r="AG10" s="66"/>
      <c r="AH10" s="66"/>
      <c r="AI10" s="66"/>
    </row>
    <row r="11" spans="1:36" x14ac:dyDescent="0.2">
      <c r="A11" s="7"/>
      <c r="B11" s="127">
        <v>1</v>
      </c>
      <c r="C11" s="65" t="s">
        <v>38</v>
      </c>
      <c r="D11" s="65" t="s">
        <v>136</v>
      </c>
      <c r="E11" s="69" t="s">
        <v>146</v>
      </c>
      <c r="F11" s="128">
        <v>2500</v>
      </c>
      <c r="G11" s="128">
        <f>+F11/30</f>
        <v>83.333333333333329</v>
      </c>
      <c r="H11" s="127">
        <v>30</v>
      </c>
      <c r="I11" s="129">
        <f>+H11*G11</f>
        <v>2500</v>
      </c>
      <c r="J11" s="130">
        <v>1</v>
      </c>
      <c r="K11" s="131">
        <f>IF(J11="",0,(G11/8*2))*J11</f>
        <v>20.833333333333332</v>
      </c>
      <c r="L11" s="130">
        <v>1</v>
      </c>
      <c r="M11" s="132">
        <f>IF(L11="",0,(G11/8*2)+(G11/8*2)*25%)*L11</f>
        <v>26.041666666666664</v>
      </c>
      <c r="N11" s="147">
        <f>+K11+M11</f>
        <v>46.875</v>
      </c>
      <c r="O11" s="134">
        <v>15</v>
      </c>
      <c r="P11" s="135">
        <f>+O11*G11</f>
        <v>1250</v>
      </c>
      <c r="Q11" s="133">
        <f>+P11*30%</f>
        <v>375</v>
      </c>
      <c r="R11" s="133"/>
      <c r="S11" s="133"/>
      <c r="T11" s="133">
        <f>+I11+N11+P11+Q11+R11+S11</f>
        <v>4171.875</v>
      </c>
      <c r="U11" s="133">
        <f>ROUND(IF(SUM(T11-S11-R11)&lt;1000,SUM(T11-S11-R11)*3%,1000*3%),2)</f>
        <v>30</v>
      </c>
      <c r="V11" s="133">
        <f>IF(SUM(T11)&lt;6500,SUM(T11)*7.25%,1000000*7.25%)</f>
        <v>302.4609375</v>
      </c>
      <c r="W11" s="133">
        <f>IF((T11-U11-V11)&lt;472,0,IF((T11-U11-V11)&lt;=895.24,((T11-U11-V11)-472.01)*10%+17.67,IF((T11-U11-V11)&lt;=2038.1,((T11-U11-V11)-895.25)*20%+60,IF((T11-U11-V11)&gt;2038.11,((T11-U11-V11)-2038.1)*30%+288.57))))</f>
        <v>828.9642187500001</v>
      </c>
      <c r="X11" s="133">
        <v>0</v>
      </c>
      <c r="Y11" s="133"/>
      <c r="Z11" s="133">
        <f>SUM(U11:Y11)</f>
        <v>1161.4251562500001</v>
      </c>
      <c r="AA11" s="133">
        <f>+Reintegros!E17</f>
        <v>97.98</v>
      </c>
      <c r="AB11" s="133">
        <f>+T11-Z11+AA11</f>
        <v>3108.4298437499997</v>
      </c>
      <c r="AC11" s="65" t="s">
        <v>154</v>
      </c>
      <c r="AD11" s="65"/>
      <c r="AE11" s="65" t="s">
        <v>37</v>
      </c>
      <c r="AF11" s="66">
        <f t="shared" ref="AF11:AF17" si="0">ROUND(IF(SUM(T11)&lt;1000,SUM(T11)*7.5%,1000*7.5%),2)</f>
        <v>75</v>
      </c>
      <c r="AG11" s="66">
        <f t="shared" ref="AG11:AG17" si="1">IF(SUM(T11-R11)&lt;100000,SUM(T11-R11)*8.75%,100000*8.75%)</f>
        <v>365.0390625</v>
      </c>
      <c r="AH11" s="66">
        <f t="shared" ref="AH11:AI17" si="2">+AF11+U11</f>
        <v>105</v>
      </c>
      <c r="AI11" s="66">
        <f t="shared" si="2"/>
        <v>667.5</v>
      </c>
      <c r="AJ11" s="83"/>
    </row>
    <row r="12" spans="1:36" x14ac:dyDescent="0.2">
      <c r="A12" s="7"/>
      <c r="B12" s="127">
        <v>2</v>
      </c>
      <c r="C12" s="65" t="s">
        <v>137</v>
      </c>
      <c r="D12" s="65" t="s">
        <v>142</v>
      </c>
      <c r="E12" s="69" t="s">
        <v>147</v>
      </c>
      <c r="F12" s="128">
        <v>1500</v>
      </c>
      <c r="G12" s="128">
        <f>+F12/30</f>
        <v>50</v>
      </c>
      <c r="H12" s="127">
        <v>30</v>
      </c>
      <c r="I12" s="129">
        <f>+H12*G12</f>
        <v>1500</v>
      </c>
      <c r="J12" s="130"/>
      <c r="K12" s="131">
        <f>IF(J12="",0,(G12/8*2))*J12</f>
        <v>0</v>
      </c>
      <c r="L12" s="130"/>
      <c r="M12" s="132">
        <f>IF(L12="",0,(G12/8*2)+(G12/8*2)*25%)*L12</f>
        <v>0</v>
      </c>
      <c r="N12" s="147">
        <f>+M12+K12</f>
        <v>0</v>
      </c>
      <c r="O12" s="134">
        <v>0</v>
      </c>
      <c r="P12" s="135">
        <f t="shared" ref="P12:P17" si="3">+O12*G12</f>
        <v>0</v>
      </c>
      <c r="Q12" s="133">
        <f t="shared" ref="Q12:Q17" si="4">+P12*30%</f>
        <v>0</v>
      </c>
      <c r="R12" s="133"/>
      <c r="S12" s="133"/>
      <c r="T12" s="133">
        <f t="shared" ref="T12:T17" si="5">+I12+N12+P12+Q12+R12+S12</f>
        <v>1500</v>
      </c>
      <c r="U12" s="133">
        <f>ROUND(IF(SUM(T12-S12-R12)&lt;1000,SUM(T12-S12-R12)*3%,1000*3%),2)</f>
        <v>30</v>
      </c>
      <c r="V12" s="133">
        <f t="shared" ref="V12:V17" si="6">IF(SUM(T12)&lt;6500,SUM(T12)*7.25%,1000000*7.25%)</f>
        <v>108.74999999999999</v>
      </c>
      <c r="W12" s="133">
        <f>IF((T12-U12-V12)&lt;472,0,IF((T12-U12-V12)&lt;=895.24,((T12-U12-V12)-472.01)*10%+17.67,IF((T12-U12-V12)&lt;=2038.1,((T12-U12-V12)-895.25)*20%+60,IF((T12-U12-V12)&gt;2038.11,((T12-U12-V12)-2038.1)*30%+288.57))))</f>
        <v>153.19999999999999</v>
      </c>
      <c r="X12" s="133">
        <v>0</v>
      </c>
      <c r="Y12" s="133"/>
      <c r="Z12" s="133">
        <f>SUM(U12:Y12)</f>
        <v>291.95</v>
      </c>
      <c r="AA12" s="133">
        <v>0</v>
      </c>
      <c r="AB12" s="133">
        <f t="shared" ref="AB12:AB17" si="7">+T12-Z12+AA12</f>
        <v>1208.05</v>
      </c>
      <c r="AC12" s="65" t="s">
        <v>154</v>
      </c>
      <c r="AD12" s="65"/>
      <c r="AE12" s="65" t="s">
        <v>87</v>
      </c>
      <c r="AF12" s="66">
        <f t="shared" si="0"/>
        <v>75</v>
      </c>
      <c r="AG12" s="66">
        <f t="shared" si="1"/>
        <v>131.25</v>
      </c>
      <c r="AH12" s="66">
        <f t="shared" si="2"/>
        <v>105</v>
      </c>
      <c r="AI12" s="66">
        <f t="shared" si="2"/>
        <v>240</v>
      </c>
      <c r="AJ12" s="83"/>
    </row>
    <row r="13" spans="1:36" x14ac:dyDescent="0.2">
      <c r="A13" s="7"/>
      <c r="B13" s="127">
        <v>3</v>
      </c>
      <c r="C13" s="65" t="s">
        <v>86</v>
      </c>
      <c r="D13" s="65" t="s">
        <v>143</v>
      </c>
      <c r="E13" s="69" t="s">
        <v>148</v>
      </c>
      <c r="F13" s="128">
        <v>900</v>
      </c>
      <c r="G13" s="128">
        <f>+F13/30</f>
        <v>30</v>
      </c>
      <c r="H13" s="127">
        <v>15</v>
      </c>
      <c r="I13" s="129">
        <f t="shared" ref="I13:I17" si="8">+H13*G13</f>
        <v>450</v>
      </c>
      <c r="J13" s="130"/>
      <c r="K13" s="131">
        <f t="shared" ref="K13:K17" si="9">IF(J13="",0,(G13/8*2))*J13</f>
        <v>0</v>
      </c>
      <c r="L13" s="130"/>
      <c r="M13" s="132">
        <f t="shared" ref="M13:M17" si="10">IF(L13="",0,(G13/8*2)+(G13/8*2)*25%)*L13</f>
        <v>0</v>
      </c>
      <c r="N13" s="147">
        <f t="shared" ref="N13:N17" si="11">+M13+K13</f>
        <v>0</v>
      </c>
      <c r="O13" s="134"/>
      <c r="P13" s="135">
        <f t="shared" si="3"/>
        <v>0</v>
      </c>
      <c r="Q13" s="133">
        <f t="shared" si="4"/>
        <v>0</v>
      </c>
      <c r="R13" s="133"/>
      <c r="S13" s="133"/>
      <c r="T13" s="133">
        <f t="shared" si="5"/>
        <v>450</v>
      </c>
      <c r="U13" s="133">
        <f t="shared" ref="U13:U17" si="12">ROUND(IF(SUM(T13-S13-R13)&lt;1000,SUM(T13-S13-R13)*3%,1000*3%),2)</f>
        <v>13.5</v>
      </c>
      <c r="V13" s="133">
        <f t="shared" si="6"/>
        <v>32.625</v>
      </c>
      <c r="W13" s="133">
        <f t="shared" ref="W13:W17" si="13">IF((T13-U13-V13)&lt;472,0,IF((T13-U13-V13)&lt;=895.24,((T13-U13-V13)-472.01)*10%+17.67,IF((T13-U13-V13)&lt;=2038.1,((T13-U13-V13)-895.25)*20%+60,IF((T13-U13-V13)&gt;2038.11,((T13-U13-V13)-2038.1)*30%+288.57))))</f>
        <v>0</v>
      </c>
      <c r="X13" s="133">
        <v>0</v>
      </c>
      <c r="Y13" s="133"/>
      <c r="Z13" s="133">
        <f t="shared" ref="Z13:Z17" si="14">SUM(U13:Y13)</f>
        <v>46.125</v>
      </c>
      <c r="AA13" s="133">
        <v>0</v>
      </c>
      <c r="AB13" s="133">
        <f t="shared" si="7"/>
        <v>403.875</v>
      </c>
      <c r="AC13" s="65" t="s">
        <v>154</v>
      </c>
      <c r="AD13" s="65"/>
      <c r="AE13" s="65" t="s">
        <v>87</v>
      </c>
      <c r="AF13" s="66">
        <f t="shared" si="0"/>
        <v>33.75</v>
      </c>
      <c r="AG13" s="66">
        <f t="shared" si="1"/>
        <v>39.375</v>
      </c>
      <c r="AH13" s="66">
        <f t="shared" si="2"/>
        <v>47.25</v>
      </c>
      <c r="AI13" s="66">
        <f t="shared" si="2"/>
        <v>72</v>
      </c>
      <c r="AJ13" s="83"/>
    </row>
    <row r="14" spans="1:36" x14ac:dyDescent="0.2">
      <c r="A14" s="7"/>
      <c r="B14" s="127">
        <v>4</v>
      </c>
      <c r="C14" s="65" t="s">
        <v>138</v>
      </c>
      <c r="D14" s="65" t="s">
        <v>144</v>
      </c>
      <c r="E14" s="69" t="s">
        <v>153</v>
      </c>
      <c r="F14" s="128">
        <v>365</v>
      </c>
      <c r="G14" s="128">
        <f t="shared" ref="G14:G17" si="15">+F14/30</f>
        <v>12.166666666666666</v>
      </c>
      <c r="H14" s="127">
        <v>30</v>
      </c>
      <c r="I14" s="129">
        <f t="shared" si="8"/>
        <v>365</v>
      </c>
      <c r="J14" s="130"/>
      <c r="K14" s="131">
        <f t="shared" si="9"/>
        <v>0</v>
      </c>
      <c r="L14" s="130"/>
      <c r="M14" s="132">
        <f t="shared" si="10"/>
        <v>0</v>
      </c>
      <c r="N14" s="147">
        <f t="shared" si="11"/>
        <v>0</v>
      </c>
      <c r="O14" s="134">
        <v>15</v>
      </c>
      <c r="P14" s="135">
        <f t="shared" si="3"/>
        <v>182.5</v>
      </c>
      <c r="Q14" s="133">
        <f t="shared" si="4"/>
        <v>54.75</v>
      </c>
      <c r="R14" s="133"/>
      <c r="S14" s="133"/>
      <c r="T14" s="133">
        <f t="shared" si="5"/>
        <v>602.25</v>
      </c>
      <c r="U14" s="133">
        <f t="shared" si="12"/>
        <v>18.07</v>
      </c>
      <c r="V14" s="133">
        <f t="shared" si="6"/>
        <v>43.663124999999994</v>
      </c>
      <c r="W14" s="133">
        <f t="shared" si="13"/>
        <v>24.520687499999994</v>
      </c>
      <c r="X14" s="133">
        <v>0</v>
      </c>
      <c r="Y14" s="133"/>
      <c r="Z14" s="133">
        <f t="shared" si="14"/>
        <v>86.253812499999981</v>
      </c>
      <c r="AA14" s="133">
        <v>0</v>
      </c>
      <c r="AB14" s="133">
        <f t="shared" si="7"/>
        <v>515.99618750000002</v>
      </c>
      <c r="AC14" s="65" t="s">
        <v>154</v>
      </c>
      <c r="AD14" s="65"/>
      <c r="AE14" s="65" t="s">
        <v>87</v>
      </c>
      <c r="AF14" s="66">
        <f t="shared" si="0"/>
        <v>45.17</v>
      </c>
      <c r="AG14" s="66">
        <f t="shared" si="1"/>
        <v>52.696874999999999</v>
      </c>
      <c r="AH14" s="66">
        <f t="shared" si="2"/>
        <v>63.24</v>
      </c>
      <c r="AI14" s="66">
        <f t="shared" si="2"/>
        <v>96.359999999999985</v>
      </c>
      <c r="AJ14" s="83"/>
    </row>
    <row r="15" spans="1:36" x14ac:dyDescent="0.2">
      <c r="A15" s="7"/>
      <c r="B15" s="127">
        <v>5</v>
      </c>
      <c r="C15" s="65" t="s">
        <v>139</v>
      </c>
      <c r="D15" s="65" t="s">
        <v>145</v>
      </c>
      <c r="E15" s="69" t="s">
        <v>155</v>
      </c>
      <c r="F15" s="128">
        <v>500</v>
      </c>
      <c r="G15" s="128">
        <f t="shared" si="15"/>
        <v>16.666666666666668</v>
      </c>
      <c r="H15" s="127">
        <v>30</v>
      </c>
      <c r="I15" s="129">
        <f t="shared" si="8"/>
        <v>500.00000000000006</v>
      </c>
      <c r="J15" s="130"/>
      <c r="K15" s="131">
        <f t="shared" si="9"/>
        <v>0</v>
      </c>
      <c r="L15" s="130"/>
      <c r="M15" s="132">
        <f t="shared" si="10"/>
        <v>0</v>
      </c>
      <c r="N15" s="147">
        <f t="shared" si="11"/>
        <v>0</v>
      </c>
      <c r="O15" s="134"/>
      <c r="P15" s="135">
        <f t="shared" si="3"/>
        <v>0</v>
      </c>
      <c r="Q15" s="133">
        <f t="shared" si="4"/>
        <v>0</v>
      </c>
      <c r="R15" s="133"/>
      <c r="S15" s="133"/>
      <c r="T15" s="133">
        <f t="shared" si="5"/>
        <v>500.00000000000006</v>
      </c>
      <c r="U15" s="133">
        <f t="shared" si="12"/>
        <v>15</v>
      </c>
      <c r="V15" s="133">
        <f t="shared" si="6"/>
        <v>36.25</v>
      </c>
      <c r="W15" s="133">
        <f t="shared" si="13"/>
        <v>0</v>
      </c>
      <c r="X15" s="133">
        <v>0</v>
      </c>
      <c r="Y15" s="133"/>
      <c r="Z15" s="133">
        <f t="shared" si="14"/>
        <v>51.25</v>
      </c>
      <c r="AA15" s="133">
        <v>0</v>
      </c>
      <c r="AB15" s="133">
        <f t="shared" si="7"/>
        <v>448.75000000000006</v>
      </c>
      <c r="AC15" s="65" t="s">
        <v>154</v>
      </c>
      <c r="AD15" s="65"/>
      <c r="AE15" s="65" t="s">
        <v>87</v>
      </c>
      <c r="AF15" s="66">
        <f t="shared" si="0"/>
        <v>37.5</v>
      </c>
      <c r="AG15" s="66">
        <f t="shared" si="1"/>
        <v>43.75</v>
      </c>
      <c r="AH15" s="66">
        <f t="shared" si="2"/>
        <v>52.5</v>
      </c>
      <c r="AI15" s="66">
        <f t="shared" si="2"/>
        <v>80</v>
      </c>
      <c r="AJ15" s="83"/>
    </row>
    <row r="16" spans="1:36" x14ac:dyDescent="0.2">
      <c r="A16" s="7"/>
      <c r="B16" s="127">
        <v>6</v>
      </c>
      <c r="C16" s="65" t="s">
        <v>140</v>
      </c>
      <c r="D16" s="65"/>
      <c r="E16" s="69"/>
      <c r="F16" s="128"/>
      <c r="G16" s="128">
        <f t="shared" si="15"/>
        <v>0</v>
      </c>
      <c r="H16" s="127"/>
      <c r="I16" s="129">
        <f t="shared" si="8"/>
        <v>0</v>
      </c>
      <c r="J16" s="130"/>
      <c r="K16" s="131">
        <f t="shared" si="9"/>
        <v>0</v>
      </c>
      <c r="L16" s="130"/>
      <c r="M16" s="132">
        <f t="shared" si="10"/>
        <v>0</v>
      </c>
      <c r="N16" s="147">
        <f t="shared" si="11"/>
        <v>0</v>
      </c>
      <c r="O16" s="134"/>
      <c r="P16" s="135">
        <f t="shared" si="3"/>
        <v>0</v>
      </c>
      <c r="Q16" s="133">
        <f t="shared" si="4"/>
        <v>0</v>
      </c>
      <c r="R16" s="133"/>
      <c r="S16" s="133"/>
      <c r="T16" s="133">
        <f t="shared" si="5"/>
        <v>0</v>
      </c>
      <c r="U16" s="133">
        <f t="shared" si="12"/>
        <v>0</v>
      </c>
      <c r="V16" s="133">
        <f t="shared" si="6"/>
        <v>0</v>
      </c>
      <c r="W16" s="133">
        <f t="shared" si="13"/>
        <v>0</v>
      </c>
      <c r="X16" s="133">
        <v>0</v>
      </c>
      <c r="Y16" s="133"/>
      <c r="Z16" s="133">
        <f t="shared" si="14"/>
        <v>0</v>
      </c>
      <c r="AA16" s="133">
        <v>0</v>
      </c>
      <c r="AB16" s="133">
        <f t="shared" si="7"/>
        <v>0</v>
      </c>
      <c r="AC16" s="65" t="s">
        <v>154</v>
      </c>
      <c r="AD16" s="65"/>
      <c r="AE16" s="65" t="s">
        <v>87</v>
      </c>
      <c r="AF16" s="66">
        <f t="shared" si="0"/>
        <v>0</v>
      </c>
      <c r="AG16" s="66">
        <f t="shared" si="1"/>
        <v>0</v>
      </c>
      <c r="AH16" s="66">
        <f t="shared" si="2"/>
        <v>0</v>
      </c>
      <c r="AI16" s="66">
        <f t="shared" si="2"/>
        <v>0</v>
      </c>
      <c r="AJ16" s="83"/>
    </row>
    <row r="17" spans="1:35" x14ac:dyDescent="0.2">
      <c r="A17" s="7"/>
      <c r="B17" s="127">
        <v>7</v>
      </c>
      <c r="C17" s="65" t="s">
        <v>141</v>
      </c>
      <c r="D17" s="65"/>
      <c r="E17" s="69"/>
      <c r="F17" s="128"/>
      <c r="G17" s="128">
        <f t="shared" si="15"/>
        <v>0</v>
      </c>
      <c r="H17" s="127"/>
      <c r="I17" s="129">
        <f t="shared" si="8"/>
        <v>0</v>
      </c>
      <c r="J17" s="130"/>
      <c r="K17" s="131">
        <f t="shared" si="9"/>
        <v>0</v>
      </c>
      <c r="L17" s="130"/>
      <c r="M17" s="132">
        <f t="shared" si="10"/>
        <v>0</v>
      </c>
      <c r="N17" s="147">
        <f t="shared" si="11"/>
        <v>0</v>
      </c>
      <c r="O17" s="134"/>
      <c r="P17" s="135">
        <f t="shared" si="3"/>
        <v>0</v>
      </c>
      <c r="Q17" s="133">
        <f t="shared" si="4"/>
        <v>0</v>
      </c>
      <c r="R17" s="133"/>
      <c r="S17" s="133"/>
      <c r="T17" s="133">
        <f t="shared" si="5"/>
        <v>0</v>
      </c>
      <c r="U17" s="133">
        <f t="shared" si="12"/>
        <v>0</v>
      </c>
      <c r="V17" s="133">
        <f t="shared" si="6"/>
        <v>0</v>
      </c>
      <c r="W17" s="133">
        <f t="shared" si="13"/>
        <v>0</v>
      </c>
      <c r="X17" s="133">
        <v>0</v>
      </c>
      <c r="Y17" s="133"/>
      <c r="Z17" s="133">
        <f t="shared" si="14"/>
        <v>0</v>
      </c>
      <c r="AA17" s="133">
        <v>0</v>
      </c>
      <c r="AB17" s="133">
        <f t="shared" si="7"/>
        <v>0</v>
      </c>
      <c r="AC17" s="65" t="s">
        <v>154</v>
      </c>
      <c r="AD17" s="65"/>
      <c r="AE17" s="65" t="s">
        <v>87</v>
      </c>
      <c r="AF17" s="66">
        <f t="shared" si="0"/>
        <v>0</v>
      </c>
      <c r="AG17" s="66">
        <f t="shared" si="1"/>
        <v>0</v>
      </c>
      <c r="AH17" s="66">
        <f t="shared" si="2"/>
        <v>0</v>
      </c>
      <c r="AI17" s="66">
        <f t="shared" si="2"/>
        <v>0</v>
      </c>
    </row>
    <row r="18" spans="1:35" x14ac:dyDescent="0.2">
      <c r="A18" s="40"/>
      <c r="B18" s="33"/>
      <c r="C18" s="34"/>
      <c r="D18" s="35" t="s">
        <v>39</v>
      </c>
      <c r="E18" s="36"/>
      <c r="F18" s="37">
        <f>SUM(F10:F17)</f>
        <v>5765</v>
      </c>
      <c r="G18" s="37"/>
      <c r="H18" s="38"/>
      <c r="I18" s="37">
        <f>SUM(I10:I17)</f>
        <v>5315</v>
      </c>
      <c r="J18" s="39">
        <f t="shared" ref="J18:L18" si="16">SUM(J11:J17)</f>
        <v>1</v>
      </c>
      <c r="K18" s="37">
        <f>SUM(K10:K17)</f>
        <v>20.833333333333332</v>
      </c>
      <c r="L18" s="39">
        <f t="shared" si="16"/>
        <v>1</v>
      </c>
      <c r="M18" s="37">
        <f>SUM(M10:M17)</f>
        <v>26.041666666666664</v>
      </c>
      <c r="N18" s="148">
        <f>SUM(N10:N17)</f>
        <v>46.875</v>
      </c>
      <c r="O18" s="35"/>
      <c r="P18" s="37">
        <f t="shared" ref="P18:AB18" si="17">SUM(P10:P17)</f>
        <v>1432.5</v>
      </c>
      <c r="Q18" s="37">
        <f t="shared" si="17"/>
        <v>429.75</v>
      </c>
      <c r="R18" s="37">
        <f t="shared" si="17"/>
        <v>0</v>
      </c>
      <c r="S18" s="37">
        <f t="shared" si="17"/>
        <v>0</v>
      </c>
      <c r="T18" s="37">
        <f t="shared" si="17"/>
        <v>7224.125</v>
      </c>
      <c r="U18" s="37">
        <f t="shared" si="17"/>
        <v>106.57</v>
      </c>
      <c r="V18" s="37">
        <f t="shared" si="17"/>
        <v>523.74906250000004</v>
      </c>
      <c r="W18" s="37">
        <f t="shared" si="17"/>
        <v>1006.6849062500002</v>
      </c>
      <c r="X18" s="37">
        <f t="shared" si="17"/>
        <v>0</v>
      </c>
      <c r="Y18" s="37">
        <f t="shared" si="17"/>
        <v>0</v>
      </c>
      <c r="Z18" s="37">
        <f t="shared" si="17"/>
        <v>1637.0039687500002</v>
      </c>
      <c r="AA18" s="37">
        <f t="shared" si="17"/>
        <v>97.98</v>
      </c>
      <c r="AB18" s="37">
        <f t="shared" si="17"/>
        <v>5685.1010312499993</v>
      </c>
      <c r="AC18" s="34"/>
      <c r="AD18" s="34"/>
      <c r="AE18" s="34"/>
      <c r="AF18" s="37">
        <f>SUM(AF10:AF17)</f>
        <v>266.42</v>
      </c>
      <c r="AG18" s="37">
        <f>SUM(AG10:AG17)</f>
        <v>632.11093749999998</v>
      </c>
      <c r="AH18" s="37">
        <f>SUM(AH10:AH17)</f>
        <v>372.99</v>
      </c>
      <c r="AI18" s="37">
        <f>SUM(AI10:AI17)</f>
        <v>1155.8599999999999</v>
      </c>
    </row>
    <row r="19" spans="1:35" x14ac:dyDescent="0.2">
      <c r="A19" s="13"/>
      <c r="B19" s="126"/>
      <c r="C19" s="41"/>
      <c r="D19" s="64"/>
      <c r="E19" s="42"/>
      <c r="F19" s="43"/>
      <c r="G19" s="43"/>
      <c r="H19" s="44"/>
      <c r="I19" s="45"/>
      <c r="J19" s="46"/>
      <c r="K19" s="47"/>
      <c r="L19" s="46"/>
      <c r="M19" s="48"/>
      <c r="N19" s="149"/>
      <c r="O19" s="48"/>
      <c r="P19" s="48"/>
      <c r="Q19" s="48"/>
      <c r="R19" s="48"/>
      <c r="S19" s="48"/>
      <c r="T19" s="60">
        <f>923.77*6.25%</f>
        <v>57.735624999999999</v>
      </c>
      <c r="U19" s="61"/>
      <c r="V19" s="60"/>
      <c r="W19" s="60"/>
      <c r="X19" s="48"/>
      <c r="Y19" s="48"/>
      <c r="Z19" s="48"/>
      <c r="AA19" s="48"/>
      <c r="AB19" s="48"/>
      <c r="AC19" s="49"/>
      <c r="AD19" s="49"/>
      <c r="AE19" s="49"/>
      <c r="AF19" s="49"/>
      <c r="AG19" s="49"/>
      <c r="AH19" s="49"/>
      <c r="AI19" s="49"/>
    </row>
    <row r="20" spans="1:35" x14ac:dyDescent="0.2">
      <c r="A20" s="7"/>
      <c r="B20" s="7"/>
      <c r="C20" s="7"/>
      <c r="D20" s="7"/>
      <c r="E20" s="50"/>
      <c r="F20" s="51"/>
      <c r="G20" s="51"/>
      <c r="H20" s="6"/>
      <c r="I20" s="4"/>
      <c r="J20" s="5"/>
      <c r="K20" s="4"/>
      <c r="L20" s="5"/>
      <c r="M20" s="6"/>
      <c r="N20" s="144"/>
      <c r="O20" s="6"/>
      <c r="P20" s="6"/>
      <c r="Q20" s="6"/>
      <c r="R20" s="6"/>
      <c r="S20" s="6"/>
      <c r="T20" s="62"/>
      <c r="U20" s="62"/>
      <c r="V20" s="6"/>
      <c r="W20" s="11"/>
      <c r="X20" s="4"/>
      <c r="Y20" s="6"/>
      <c r="Z20" s="6"/>
      <c r="AA20" s="52"/>
      <c r="AB20" s="136"/>
      <c r="AC20" s="7"/>
      <c r="AD20" s="7"/>
      <c r="AE20" s="7"/>
      <c r="AF20" s="7"/>
      <c r="AG20" s="7"/>
      <c r="AH20" s="7"/>
      <c r="AI20" s="7"/>
    </row>
    <row r="21" spans="1:35" ht="13.5" thickBot="1" x14ac:dyDescent="0.25">
      <c r="A21" s="7"/>
      <c r="B21" s="7"/>
      <c r="C21" s="7"/>
      <c r="D21" s="7"/>
      <c r="E21" s="50"/>
      <c r="F21" s="51"/>
      <c r="G21" s="51"/>
      <c r="H21" s="6"/>
      <c r="I21" s="4"/>
      <c r="J21" s="5"/>
      <c r="K21" s="4"/>
      <c r="L21" s="5"/>
      <c r="M21" s="6"/>
      <c r="N21" s="144"/>
      <c r="O21" s="6"/>
      <c r="P21" s="51"/>
      <c r="Q21" s="6"/>
      <c r="R21" s="6"/>
      <c r="S21" s="6"/>
      <c r="T21" s="62"/>
      <c r="U21" s="62"/>
      <c r="V21" s="6"/>
      <c r="W21" s="11"/>
      <c r="X21" s="6"/>
      <c r="Y21" s="6"/>
      <c r="Z21" s="152" t="s">
        <v>40</v>
      </c>
      <c r="AB21" s="59">
        <f>+AB18</f>
        <v>5685.1010312499993</v>
      </c>
      <c r="AC21" s="7"/>
      <c r="AD21" s="7"/>
      <c r="AE21" s="7"/>
      <c r="AF21" s="7"/>
      <c r="AG21" s="7"/>
      <c r="AH21" s="7"/>
      <c r="AI21" s="7"/>
    </row>
    <row r="22" spans="1:35" ht="13.5" thickTop="1" x14ac:dyDescent="0.2">
      <c r="A22" s="7"/>
      <c r="B22" s="7"/>
      <c r="C22" s="7"/>
      <c r="D22" s="7"/>
      <c r="E22" s="50"/>
      <c r="F22" s="51"/>
      <c r="G22" s="51"/>
      <c r="H22" s="6"/>
      <c r="I22" s="4"/>
      <c r="J22" s="5"/>
      <c r="K22" s="4"/>
      <c r="L22" s="5"/>
      <c r="M22" s="6"/>
      <c r="N22" s="144"/>
      <c r="O22" s="6"/>
      <c r="P22" s="6"/>
      <c r="Q22" s="6"/>
      <c r="R22" s="52"/>
      <c r="S22" s="6"/>
      <c r="T22" s="67"/>
      <c r="U22" s="62">
        <f>20.57-6.78</f>
        <v>13.79</v>
      </c>
      <c r="V22" s="6"/>
      <c r="W22" s="6"/>
      <c r="X22" s="4"/>
      <c r="Y22" s="6"/>
      <c r="Z22" s="6"/>
      <c r="AA22" s="6"/>
      <c r="AB22" s="6"/>
      <c r="AC22" s="7"/>
      <c r="AD22" s="7"/>
      <c r="AE22" s="7"/>
      <c r="AF22" s="7"/>
      <c r="AG22" s="7"/>
      <c r="AH22" s="7"/>
      <c r="AI22" s="7"/>
    </row>
    <row r="23" spans="1:35" s="123" customFormat="1" ht="13.5" x14ac:dyDescent="0.25">
      <c r="A23" s="120"/>
      <c r="B23" s="120"/>
      <c r="C23" s="120"/>
      <c r="D23" s="120"/>
      <c r="E23" s="121" t="s">
        <v>84</v>
      </c>
      <c r="F23" s="63"/>
      <c r="G23" s="63"/>
      <c r="H23" s="62"/>
      <c r="I23" s="124">
        <v>601010101</v>
      </c>
      <c r="J23" s="124"/>
      <c r="K23" s="124"/>
      <c r="L23" s="124"/>
      <c r="M23" s="124"/>
      <c r="N23" s="150"/>
      <c r="O23" s="124"/>
      <c r="P23" s="124"/>
      <c r="Q23" s="124"/>
      <c r="R23" s="124"/>
      <c r="S23" s="124"/>
      <c r="T23" s="124"/>
      <c r="U23" s="168">
        <v>201040104</v>
      </c>
      <c r="V23" s="168"/>
      <c r="W23" s="124">
        <v>201040105</v>
      </c>
      <c r="X23" s="124"/>
      <c r="Y23" s="124"/>
      <c r="Z23" s="124"/>
      <c r="AA23" s="124"/>
      <c r="AB23" s="124">
        <v>201040101</v>
      </c>
      <c r="AC23" s="122"/>
      <c r="AD23" s="122"/>
      <c r="AE23" s="122"/>
      <c r="AF23" s="168">
        <v>601010106</v>
      </c>
      <c r="AG23" s="168"/>
      <c r="AH23" s="168">
        <v>201040104</v>
      </c>
      <c r="AI23" s="168"/>
    </row>
    <row r="24" spans="1:35" x14ac:dyDescent="0.2">
      <c r="A24" s="7"/>
      <c r="B24" s="7"/>
      <c r="C24" s="7"/>
      <c r="D24" s="7"/>
      <c r="E24" s="50"/>
      <c r="F24" s="51"/>
      <c r="G24" s="51"/>
      <c r="H24" s="6"/>
      <c r="I24" s="4"/>
      <c r="J24" s="5"/>
      <c r="K24" s="4"/>
      <c r="L24" s="5"/>
      <c r="M24" s="6"/>
      <c r="N24" s="144"/>
      <c r="O24" s="6"/>
      <c r="P24" s="6"/>
      <c r="Q24" s="6"/>
      <c r="R24" s="6"/>
      <c r="S24" s="6"/>
      <c r="T24" s="11"/>
      <c r="U24" s="6"/>
      <c r="V24" s="11"/>
      <c r="W24" s="4"/>
      <c r="X24" s="4"/>
      <c r="Y24" s="6"/>
      <c r="Z24" s="6"/>
      <c r="AA24" s="6"/>
      <c r="AB24" s="4"/>
      <c r="AC24" s="7"/>
      <c r="AD24" s="7"/>
      <c r="AE24" s="7"/>
      <c r="AF24" s="7"/>
      <c r="AG24" s="7"/>
      <c r="AH24" s="7"/>
      <c r="AI24" s="70"/>
    </row>
    <row r="25" spans="1:35" x14ac:dyDescent="0.2">
      <c r="A25" s="7"/>
      <c r="B25" s="7"/>
      <c r="C25" s="7"/>
      <c r="D25" s="7"/>
      <c r="E25" s="50"/>
      <c r="F25" s="51"/>
      <c r="G25" s="51"/>
      <c r="H25" s="6"/>
      <c r="I25" s="4"/>
      <c r="J25" s="5"/>
      <c r="K25" s="4"/>
      <c r="L25" s="5"/>
      <c r="M25" s="6"/>
      <c r="N25" s="144"/>
      <c r="O25" s="6"/>
      <c r="P25" s="6"/>
      <c r="Q25" s="6"/>
      <c r="R25" s="6"/>
      <c r="S25" s="6"/>
      <c r="T25" s="11"/>
      <c r="U25" s="6"/>
      <c r="V25" s="6"/>
      <c r="W25" s="6"/>
      <c r="X25" s="4"/>
      <c r="Y25" s="6"/>
      <c r="Z25" s="4"/>
      <c r="AA25" s="6"/>
      <c r="AC25" s="7"/>
      <c r="AD25" s="7"/>
      <c r="AE25" s="7"/>
      <c r="AF25" s="7"/>
      <c r="AG25" s="7"/>
      <c r="AH25" s="7"/>
      <c r="AI25" s="7"/>
    </row>
    <row r="26" spans="1:35" x14ac:dyDescent="0.2">
      <c r="A26" s="7"/>
      <c r="B26" s="7"/>
      <c r="C26" s="7"/>
      <c r="D26" s="7"/>
      <c r="E26" s="50"/>
      <c r="F26" s="51"/>
      <c r="G26" s="51"/>
      <c r="H26" s="6"/>
      <c r="I26" s="4"/>
      <c r="J26" s="5"/>
      <c r="K26" s="4"/>
      <c r="L26" s="5"/>
      <c r="M26" s="6"/>
      <c r="N26" s="144"/>
      <c r="O26" s="6"/>
      <c r="P26" s="6"/>
      <c r="Q26" s="6"/>
      <c r="R26" s="6"/>
      <c r="S26" s="6"/>
      <c r="T26" s="11"/>
      <c r="U26" s="6"/>
      <c r="V26" s="6"/>
      <c r="W26" s="6"/>
      <c r="X26" s="4"/>
      <c r="Y26" s="6"/>
      <c r="Z26" s="4"/>
      <c r="AA26" s="6"/>
      <c r="AC26" s="7"/>
      <c r="AD26" s="7"/>
      <c r="AE26" s="7"/>
      <c r="AF26" s="7"/>
      <c r="AG26" s="7"/>
      <c r="AH26" s="7"/>
      <c r="AI26" s="7"/>
    </row>
    <row r="27" spans="1:35" x14ac:dyDescent="0.2">
      <c r="A27" s="7"/>
      <c r="B27" s="7"/>
      <c r="C27" s="7"/>
      <c r="D27" s="7"/>
      <c r="E27" s="50"/>
      <c r="F27" s="51"/>
      <c r="G27" s="51"/>
      <c r="H27" s="6"/>
      <c r="I27" s="4"/>
      <c r="J27" s="5"/>
      <c r="K27" s="4"/>
      <c r="L27" s="5"/>
      <c r="M27" s="6"/>
      <c r="N27" s="144"/>
      <c r="O27" s="6"/>
      <c r="P27" s="6"/>
      <c r="Q27" s="6"/>
      <c r="R27" s="6"/>
      <c r="S27" s="6"/>
      <c r="T27" s="11"/>
      <c r="U27" s="6"/>
      <c r="V27" s="6"/>
      <c r="W27" s="6"/>
      <c r="X27" s="4"/>
      <c r="Y27" s="6"/>
      <c r="Z27" s="4"/>
      <c r="AA27" s="6"/>
      <c r="AB27" s="83"/>
      <c r="AC27" s="7"/>
      <c r="AD27" s="7"/>
      <c r="AE27" s="7"/>
      <c r="AF27" s="7"/>
      <c r="AG27" s="7"/>
      <c r="AH27" s="7"/>
      <c r="AI27" s="7"/>
    </row>
    <row r="28" spans="1:35" x14ac:dyDescent="0.2">
      <c r="A28" s="7"/>
      <c r="B28" s="7"/>
      <c r="C28" s="7"/>
      <c r="D28" s="7"/>
      <c r="E28" s="50"/>
      <c r="F28" s="51"/>
      <c r="G28" s="51"/>
      <c r="H28" s="6"/>
      <c r="I28" s="4"/>
      <c r="J28" s="5"/>
      <c r="K28" s="4"/>
      <c r="L28" s="5"/>
      <c r="M28" s="6"/>
      <c r="N28" s="144"/>
      <c r="O28" s="6"/>
      <c r="P28" s="6"/>
      <c r="Q28" s="6"/>
      <c r="R28" s="6"/>
      <c r="S28" s="6"/>
      <c r="T28" s="11"/>
      <c r="U28" s="6"/>
      <c r="V28" s="6"/>
      <c r="W28" s="6"/>
      <c r="X28" s="4"/>
      <c r="Y28" s="6"/>
      <c r="Z28" s="4"/>
      <c r="AA28" s="6"/>
      <c r="AC28" s="7"/>
      <c r="AD28" s="7"/>
      <c r="AE28" s="7"/>
      <c r="AF28" s="7"/>
      <c r="AG28" s="7"/>
      <c r="AH28" s="7"/>
      <c r="AI28" s="7"/>
    </row>
    <row r="29" spans="1:35" x14ac:dyDescent="0.2">
      <c r="A29" s="7"/>
      <c r="B29" s="7"/>
      <c r="C29" s="7"/>
      <c r="D29" s="7"/>
      <c r="E29" s="50"/>
      <c r="F29" s="51"/>
      <c r="G29" s="51"/>
      <c r="H29" s="6"/>
      <c r="I29" s="4"/>
      <c r="J29" s="5"/>
      <c r="K29" s="4"/>
      <c r="L29" s="5"/>
      <c r="M29" s="6"/>
      <c r="N29" s="144"/>
      <c r="O29" s="6"/>
      <c r="P29" s="6"/>
      <c r="Q29" s="6"/>
      <c r="R29" s="6"/>
      <c r="S29" s="6"/>
      <c r="T29" s="11"/>
      <c r="Z29" s="4"/>
      <c r="AA29" s="6"/>
      <c r="AB29" s="83"/>
      <c r="AC29" s="7"/>
      <c r="AD29" s="7"/>
      <c r="AE29" s="7"/>
      <c r="AF29" s="7"/>
      <c r="AG29" s="7"/>
      <c r="AH29" s="7"/>
      <c r="AI29" s="7"/>
    </row>
    <row r="30" spans="1:35" ht="17.25" x14ac:dyDescent="0.3">
      <c r="A30" s="53"/>
      <c r="B30" s="53"/>
      <c r="C30" s="53"/>
      <c r="D30" s="54" t="s">
        <v>41</v>
      </c>
      <c r="E30" s="142" t="s">
        <v>150</v>
      </c>
      <c r="F30" s="142"/>
      <c r="G30" s="68"/>
      <c r="H30" s="55"/>
      <c r="I30" s="54" t="s">
        <v>41</v>
      </c>
      <c r="J30" s="142" t="s">
        <v>151</v>
      </c>
      <c r="K30" s="142"/>
      <c r="L30" s="142"/>
      <c r="M30" s="142"/>
      <c r="O30" s="55"/>
      <c r="P30" s="55"/>
      <c r="Q30" s="55"/>
      <c r="R30" s="53"/>
      <c r="S30" s="53"/>
      <c r="T30" s="53"/>
      <c r="U30" s="54" t="s">
        <v>41</v>
      </c>
      <c r="V30" s="167" t="s">
        <v>152</v>
      </c>
      <c r="W30" s="167"/>
      <c r="X30" s="167"/>
      <c r="Y30" s="167"/>
      <c r="Z30" s="56"/>
      <c r="AA30" s="56"/>
      <c r="AC30" s="53"/>
      <c r="AD30" s="53"/>
      <c r="AE30" s="53"/>
      <c r="AF30" s="53"/>
      <c r="AG30" s="53"/>
      <c r="AH30" s="53"/>
      <c r="AI30" s="53"/>
    </row>
    <row r="31" spans="1:35" ht="17.25" x14ac:dyDescent="0.3">
      <c r="A31" s="53"/>
      <c r="B31" s="53"/>
      <c r="C31" s="57"/>
      <c r="D31" s="55"/>
      <c r="E31" s="143" t="s">
        <v>42</v>
      </c>
      <c r="F31" s="143"/>
      <c r="G31" s="55"/>
      <c r="H31" s="55"/>
      <c r="J31" s="143" t="s">
        <v>43</v>
      </c>
      <c r="K31" s="143"/>
      <c r="L31" s="143"/>
      <c r="M31" s="143"/>
      <c r="O31" s="55"/>
      <c r="P31" s="55"/>
      <c r="Q31" s="55"/>
      <c r="R31" s="53"/>
      <c r="S31" s="53"/>
      <c r="T31" s="53"/>
      <c r="V31" s="58" t="s">
        <v>44</v>
      </c>
      <c r="W31" s="58"/>
      <c r="X31" s="58"/>
      <c r="Y31" s="58"/>
      <c r="Z31" s="56"/>
      <c r="AA31" s="56"/>
      <c r="AC31" s="53"/>
      <c r="AD31" s="53"/>
      <c r="AE31" s="53"/>
      <c r="AF31" s="53"/>
      <c r="AG31" s="53"/>
      <c r="AH31" s="53"/>
      <c r="AI31" s="53"/>
    </row>
    <row r="32" spans="1:35" x14ac:dyDescent="0.2">
      <c r="Y32" s="83"/>
      <c r="Z32" s="83"/>
    </row>
    <row r="33" spans="21:33" x14ac:dyDescent="0.2">
      <c r="U33" s="92"/>
      <c r="V33" s="92"/>
      <c r="W33" s="92"/>
      <c r="X33" s="92"/>
      <c r="Y33" s="92"/>
      <c r="Z33" s="92"/>
      <c r="AA33" s="92"/>
      <c r="AB33" s="93"/>
    </row>
    <row r="34" spans="21:33" x14ac:dyDescent="0.2">
      <c r="U34" s="92"/>
      <c r="V34" s="92"/>
      <c r="W34" s="92"/>
      <c r="X34" s="92"/>
      <c r="Y34" s="92"/>
      <c r="Z34" s="92"/>
      <c r="AA34" s="92"/>
      <c r="AB34" s="93"/>
    </row>
    <row r="35" spans="21:33" x14ac:dyDescent="0.2">
      <c r="U35" s="92"/>
      <c r="V35" s="92"/>
      <c r="W35" s="92"/>
      <c r="X35" s="92"/>
      <c r="Y35" s="92"/>
      <c r="Z35" s="92"/>
      <c r="AA35" s="92"/>
      <c r="AB35" s="93"/>
      <c r="AG35" s="64"/>
    </row>
  </sheetData>
  <mergeCells count="26">
    <mergeCell ref="V30:Y30"/>
    <mergeCell ref="U23:V23"/>
    <mergeCell ref="AF23:AG23"/>
    <mergeCell ref="AH23:AI23"/>
    <mergeCell ref="AA8:AA9"/>
    <mergeCell ref="AB8:AB9"/>
    <mergeCell ref="AC8:AC9"/>
    <mergeCell ref="AF8:AG8"/>
    <mergeCell ref="AH8:AI8"/>
    <mergeCell ref="Z8:Z9"/>
    <mergeCell ref="R8:R9"/>
    <mergeCell ref="S8:S9"/>
    <mergeCell ref="T8:T9"/>
    <mergeCell ref="U8:W8"/>
    <mergeCell ref="X8:Y8"/>
    <mergeCell ref="B8:B9"/>
    <mergeCell ref="C8:C9"/>
    <mergeCell ref="D8:D9"/>
    <mergeCell ref="E8:E9"/>
    <mergeCell ref="F8:F9"/>
    <mergeCell ref="O8:Q8"/>
    <mergeCell ref="G8:G9"/>
    <mergeCell ref="H8:H9"/>
    <mergeCell ref="I8:I9"/>
    <mergeCell ref="J8:M8"/>
    <mergeCell ref="N8:N9"/>
  </mergeCells>
  <phoneticPr fontId="35" type="noConversion"/>
  <pageMargins left="0.31496062992125984" right="0.23622047244094491" top="0.74803149606299213" bottom="0.74803149606299213" header="0.31496062992125984" footer="0.31496062992125984"/>
  <pageSetup scale="4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B1:H42"/>
  <sheetViews>
    <sheetView workbookViewId="0">
      <selection activeCell="D2" sqref="D2"/>
    </sheetView>
  </sheetViews>
  <sheetFormatPr baseColWidth="10" defaultColWidth="11.42578125" defaultRowHeight="16.5" x14ac:dyDescent="0.3"/>
  <cols>
    <col min="1" max="1" width="4.85546875" style="95" customWidth="1"/>
    <col min="2" max="3" width="11.42578125" style="95"/>
    <col min="4" max="4" width="12" style="95" customWidth="1"/>
    <col min="5" max="5" width="14.42578125" style="95" customWidth="1"/>
    <col min="6" max="6" width="11.42578125" style="95"/>
    <col min="7" max="7" width="13.7109375" style="95" customWidth="1"/>
    <col min="8" max="16384" width="11.42578125" style="95"/>
  </cols>
  <sheetData>
    <row r="1" spans="2:8" ht="19.5" x14ac:dyDescent="0.3">
      <c r="D1" s="141" t="s">
        <v>134</v>
      </c>
      <c r="E1" s="96"/>
      <c r="F1" s="97"/>
      <c r="G1" s="98"/>
      <c r="H1" s="98"/>
    </row>
    <row r="2" spans="2:8" x14ac:dyDescent="0.3">
      <c r="D2" s="153" t="s">
        <v>168</v>
      </c>
      <c r="E2" s="100"/>
      <c r="F2" s="98"/>
      <c r="G2" s="98"/>
      <c r="H2" s="99"/>
    </row>
    <row r="4" spans="2:8" x14ac:dyDescent="0.3">
      <c r="D4" s="101" t="s">
        <v>88</v>
      </c>
      <c r="E4" s="102">
        <f>+'MES X1'!T11</f>
        <v>4171.875</v>
      </c>
    </row>
    <row r="6" spans="2:8" ht="18" x14ac:dyDescent="0.35">
      <c r="B6" s="103" t="s">
        <v>165</v>
      </c>
      <c r="G6" s="104">
        <f>+E4</f>
        <v>4171.875</v>
      </c>
    </row>
    <row r="7" spans="2:8" ht="18" x14ac:dyDescent="0.35">
      <c r="B7" s="103" t="s">
        <v>111</v>
      </c>
    </row>
    <row r="8" spans="2:8" ht="18" x14ac:dyDescent="0.35">
      <c r="B8" s="103" t="s">
        <v>166</v>
      </c>
    </row>
    <row r="10" spans="2:8" s="105" customFormat="1" ht="15" x14ac:dyDescent="0.3">
      <c r="C10" s="105" t="s">
        <v>89</v>
      </c>
      <c r="E10" s="106">
        <f>+'MES X1'!I11</f>
        <v>2500</v>
      </c>
    </row>
    <row r="11" spans="2:8" s="105" customFormat="1" ht="15" x14ac:dyDescent="0.3">
      <c r="C11" s="105" t="s">
        <v>115</v>
      </c>
      <c r="E11" s="106">
        <v>0</v>
      </c>
    </row>
    <row r="12" spans="2:8" s="105" customFormat="1" ht="15" x14ac:dyDescent="0.3">
      <c r="C12" s="105" t="s">
        <v>90</v>
      </c>
      <c r="E12" s="106">
        <f>+'MES X1'!S11</f>
        <v>0</v>
      </c>
    </row>
    <row r="13" spans="2:8" s="105" customFormat="1" ht="15" x14ac:dyDescent="0.3">
      <c r="C13" s="105" t="s">
        <v>63</v>
      </c>
      <c r="E13" s="106">
        <f>+'MES X1'!P11</f>
        <v>1250</v>
      </c>
    </row>
    <row r="14" spans="2:8" s="105" customFormat="1" ht="15" x14ac:dyDescent="0.3">
      <c r="C14" s="105" t="s">
        <v>91</v>
      </c>
      <c r="E14" s="106">
        <f>+'MES X1'!Q11</f>
        <v>375</v>
      </c>
    </row>
    <row r="15" spans="2:8" s="105" customFormat="1" ht="15" x14ac:dyDescent="0.3">
      <c r="C15" s="105" t="s">
        <v>92</v>
      </c>
      <c r="E15" s="106">
        <f>+'MES X1'!K11</f>
        <v>20.833333333333332</v>
      </c>
    </row>
    <row r="16" spans="2:8" s="105" customFormat="1" ht="15" x14ac:dyDescent="0.3">
      <c r="C16" s="105" t="s">
        <v>93</v>
      </c>
      <c r="E16" s="106">
        <f>+'MES X1'!M11</f>
        <v>26.041666666666664</v>
      </c>
    </row>
    <row r="17" spans="3:6" s="105" customFormat="1" ht="15" x14ac:dyDescent="0.3">
      <c r="C17" s="105" t="s">
        <v>94</v>
      </c>
      <c r="E17" s="106">
        <f>+Reintegros!E17</f>
        <v>97.98</v>
      </c>
      <c r="F17" s="106"/>
    </row>
    <row r="18" spans="3:6" s="105" customFormat="1" ht="15" x14ac:dyDescent="0.3">
      <c r="C18" s="105" t="s">
        <v>109</v>
      </c>
      <c r="E18" s="106">
        <f>SUM(E10:E17)</f>
        <v>4269.8549999999996</v>
      </c>
      <c r="F18" s="106"/>
    </row>
    <row r="19" spans="3:6" s="105" customFormat="1" ht="15" x14ac:dyDescent="0.3">
      <c r="E19" s="106"/>
    </row>
    <row r="20" spans="3:6" s="105" customFormat="1" ht="15" x14ac:dyDescent="0.3">
      <c r="C20" s="105" t="s">
        <v>95</v>
      </c>
      <c r="E20" s="106"/>
    </row>
    <row r="21" spans="3:6" s="105" customFormat="1" ht="15" x14ac:dyDescent="0.3">
      <c r="C21" s="105" t="s">
        <v>33</v>
      </c>
      <c r="E21" s="106">
        <f>+'MES X1'!X11</f>
        <v>0</v>
      </c>
    </row>
    <row r="22" spans="3:6" s="105" customFormat="1" ht="15" x14ac:dyDescent="0.3">
      <c r="C22" s="105" t="s">
        <v>96</v>
      </c>
      <c r="E22" s="106">
        <v>0</v>
      </c>
    </row>
    <row r="23" spans="3:6" s="105" customFormat="1" ht="15" x14ac:dyDescent="0.3">
      <c r="C23" s="105" t="s">
        <v>30</v>
      </c>
      <c r="E23" s="106">
        <f>+'MES X1'!U11</f>
        <v>30</v>
      </c>
      <c r="F23" s="106"/>
    </row>
    <row r="24" spans="3:6" s="105" customFormat="1" ht="15" x14ac:dyDescent="0.3">
      <c r="C24" s="105" t="s">
        <v>31</v>
      </c>
      <c r="E24" s="106">
        <f>+'MES X1'!V11</f>
        <v>302.4609375</v>
      </c>
      <c r="F24" s="106"/>
    </row>
    <row r="25" spans="3:6" s="105" customFormat="1" ht="15" x14ac:dyDescent="0.3">
      <c r="C25" s="105" t="s">
        <v>32</v>
      </c>
      <c r="E25" s="106">
        <f>+'MES X1'!W11</f>
        <v>828.9642187500001</v>
      </c>
    </row>
    <row r="26" spans="3:6" s="105" customFormat="1" ht="15" hidden="1" x14ac:dyDescent="0.3">
      <c r="C26" s="105" t="s">
        <v>97</v>
      </c>
      <c r="E26" s="106">
        <v>0</v>
      </c>
    </row>
    <row r="27" spans="3:6" s="105" customFormat="1" ht="15" hidden="1" x14ac:dyDescent="0.3">
      <c r="C27" s="105" t="s">
        <v>98</v>
      </c>
      <c r="E27" s="106">
        <v>0</v>
      </c>
    </row>
    <row r="28" spans="3:6" s="105" customFormat="1" ht="15" hidden="1" x14ac:dyDescent="0.3">
      <c r="C28" s="105" t="s">
        <v>99</v>
      </c>
      <c r="E28" s="106">
        <v>0</v>
      </c>
    </row>
    <row r="29" spans="3:6" s="105" customFormat="1" ht="15" hidden="1" x14ac:dyDescent="0.3">
      <c r="C29" s="105" t="s">
        <v>100</v>
      </c>
      <c r="E29" s="106">
        <v>0</v>
      </c>
    </row>
    <row r="30" spans="3:6" s="105" customFormat="1" ht="15" hidden="1" x14ac:dyDescent="0.3">
      <c r="C30" s="105" t="s">
        <v>101</v>
      </c>
      <c r="E30" s="106">
        <v>0</v>
      </c>
    </row>
    <row r="31" spans="3:6" s="105" customFormat="1" ht="15" x14ac:dyDescent="0.3">
      <c r="C31" s="105" t="s">
        <v>19</v>
      </c>
      <c r="E31" s="106">
        <f>SUM(E21:E30)</f>
        <v>1161.4251562500001</v>
      </c>
    </row>
    <row r="32" spans="3:6" x14ac:dyDescent="0.3">
      <c r="C32" s="107" t="s">
        <v>102</v>
      </c>
      <c r="D32" s="107"/>
      <c r="E32" s="108">
        <f>+E18-E31</f>
        <v>3108.4298437499992</v>
      </c>
      <c r="F32" s="109">
        <f>+E32-'MES X1'!AB11</f>
        <v>0</v>
      </c>
    </row>
    <row r="37" spans="2:2" x14ac:dyDescent="0.3">
      <c r="B37" s="95" t="s">
        <v>167</v>
      </c>
    </row>
    <row r="42" spans="2:2" x14ac:dyDescent="0.3">
      <c r="B42" s="95" t="s">
        <v>158</v>
      </c>
    </row>
  </sheetData>
  <pageMargins left="0.75" right="0.75" top="1" bottom="1" header="0" footer="0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fitToPage="1"/>
  </sheetPr>
  <dimension ref="A2:E31"/>
  <sheetViews>
    <sheetView workbookViewId="0">
      <selection activeCell="D17" sqref="D17"/>
    </sheetView>
  </sheetViews>
  <sheetFormatPr baseColWidth="10" defaultColWidth="9.140625" defaultRowHeight="12.75" x14ac:dyDescent="0.2"/>
  <cols>
    <col min="1" max="1" width="19.5703125" style="98" customWidth="1"/>
    <col min="2" max="2" width="10.140625" style="98" bestFit="1" customWidth="1"/>
    <col min="3" max="3" width="39.7109375" style="98" customWidth="1"/>
    <col min="4" max="4" width="44.140625" style="98" bestFit="1" customWidth="1"/>
    <col min="5" max="5" width="9.140625" style="110"/>
    <col min="6" max="16384" width="9.140625" style="98"/>
  </cols>
  <sheetData>
    <row r="2" spans="1:5" ht="19.5" x14ac:dyDescent="0.3">
      <c r="A2" s="141" t="s">
        <v>134</v>
      </c>
    </row>
    <row r="3" spans="1:5" ht="16.5" x14ac:dyDescent="0.25">
      <c r="A3" s="111" t="s">
        <v>0</v>
      </c>
    </row>
    <row r="4" spans="1:5" ht="16.5" x14ac:dyDescent="0.25">
      <c r="A4" s="12" t="s">
        <v>157</v>
      </c>
      <c r="B4"/>
    </row>
    <row r="5" spans="1:5" ht="16.5" x14ac:dyDescent="0.25">
      <c r="A5" s="12" t="s">
        <v>110</v>
      </c>
      <c r="B5"/>
    </row>
    <row r="6" spans="1:5" x14ac:dyDescent="0.2">
      <c r="A6" s="112" t="s">
        <v>103</v>
      </c>
      <c r="B6" s="98" t="s">
        <v>158</v>
      </c>
    </row>
    <row r="7" spans="1:5" x14ac:dyDescent="0.2">
      <c r="A7" s="113" t="s">
        <v>104</v>
      </c>
      <c r="B7" s="113" t="s">
        <v>85</v>
      </c>
      <c r="C7" s="113" t="s">
        <v>105</v>
      </c>
      <c r="D7" s="113" t="s">
        <v>106</v>
      </c>
      <c r="E7" s="114" t="s">
        <v>28</v>
      </c>
    </row>
    <row r="8" spans="1:5" x14ac:dyDescent="0.2">
      <c r="A8" s="117" t="s">
        <v>160</v>
      </c>
      <c r="B8" s="116">
        <v>44929</v>
      </c>
      <c r="C8" s="98" t="s">
        <v>117</v>
      </c>
      <c r="D8" s="98" t="s">
        <v>119</v>
      </c>
      <c r="E8" s="137">
        <v>25</v>
      </c>
    </row>
    <row r="9" spans="1:5" x14ac:dyDescent="0.2">
      <c r="A9" s="117" t="s">
        <v>161</v>
      </c>
      <c r="B9" s="116">
        <v>44942</v>
      </c>
      <c r="C9" s="98" t="s">
        <v>120</v>
      </c>
      <c r="D9" s="98" t="s">
        <v>119</v>
      </c>
      <c r="E9" s="137">
        <v>25</v>
      </c>
    </row>
    <row r="10" spans="1:5" x14ac:dyDescent="0.2">
      <c r="A10" s="115" t="s">
        <v>162</v>
      </c>
      <c r="B10" s="116">
        <v>44949</v>
      </c>
      <c r="C10" s="98" t="s">
        <v>120</v>
      </c>
      <c r="D10" s="98" t="s">
        <v>125</v>
      </c>
      <c r="E10" s="137">
        <v>25</v>
      </c>
    </row>
    <row r="11" spans="1:5" x14ac:dyDescent="0.2">
      <c r="A11" s="115" t="s">
        <v>163</v>
      </c>
      <c r="B11" s="116">
        <v>44929</v>
      </c>
      <c r="C11" s="98" t="s">
        <v>112</v>
      </c>
      <c r="D11" s="98" t="s">
        <v>121</v>
      </c>
      <c r="E11" s="137">
        <v>22.98</v>
      </c>
    </row>
    <row r="12" spans="1:5" x14ac:dyDescent="0.2">
      <c r="A12" s="115"/>
      <c r="B12" s="116"/>
    </row>
    <row r="13" spans="1:5" x14ac:dyDescent="0.2">
      <c r="A13" s="115"/>
      <c r="B13" s="116"/>
    </row>
    <row r="14" spans="1:5" x14ac:dyDescent="0.2">
      <c r="A14" s="115"/>
      <c r="B14" s="116"/>
    </row>
    <row r="15" spans="1:5" x14ac:dyDescent="0.2">
      <c r="A15" s="115"/>
      <c r="B15" s="116"/>
    </row>
    <row r="16" spans="1:5" x14ac:dyDescent="0.2">
      <c r="A16" s="115"/>
      <c r="B16" s="116"/>
      <c r="E16" s="119"/>
    </row>
    <row r="17" spans="1:5" x14ac:dyDescent="0.2">
      <c r="D17" s="112" t="s">
        <v>107</v>
      </c>
      <c r="E17" s="118">
        <f>SUM(E8:E16)</f>
        <v>97.98</v>
      </c>
    </row>
    <row r="20" spans="1:5" ht="19.5" x14ac:dyDescent="0.3">
      <c r="A20" s="141" t="s">
        <v>134</v>
      </c>
    </row>
    <row r="21" spans="1:5" ht="16.5" x14ac:dyDescent="0.25">
      <c r="A21" s="111" t="s">
        <v>0</v>
      </c>
    </row>
    <row r="22" spans="1:5" ht="16.5" x14ac:dyDescent="0.25">
      <c r="A22" s="12" t="s">
        <v>157</v>
      </c>
      <c r="B22"/>
    </row>
    <row r="23" spans="1:5" ht="16.5" x14ac:dyDescent="0.25">
      <c r="A23" s="12" t="s">
        <v>110</v>
      </c>
      <c r="B23"/>
    </row>
    <row r="24" spans="1:5" x14ac:dyDescent="0.2">
      <c r="A24" s="112" t="s">
        <v>103</v>
      </c>
      <c r="B24" s="98" t="s">
        <v>159</v>
      </c>
    </row>
    <row r="25" spans="1:5" x14ac:dyDescent="0.2">
      <c r="A25" s="113" t="s">
        <v>104</v>
      </c>
      <c r="B25" s="113" t="s">
        <v>85</v>
      </c>
      <c r="C25" s="113" t="s">
        <v>105</v>
      </c>
      <c r="E25" s="114" t="s">
        <v>28</v>
      </c>
    </row>
    <row r="26" spans="1:5" x14ac:dyDescent="0.2">
      <c r="A26" s="117" t="s">
        <v>160</v>
      </c>
      <c r="B26" s="116">
        <v>44937</v>
      </c>
      <c r="C26" s="98" t="s">
        <v>118</v>
      </c>
      <c r="D26" s="98" t="s">
        <v>122</v>
      </c>
      <c r="E26" s="110">
        <v>46</v>
      </c>
    </row>
    <row r="27" spans="1:5" x14ac:dyDescent="0.2">
      <c r="A27" s="117" t="s">
        <v>161</v>
      </c>
      <c r="B27" s="116">
        <v>44934</v>
      </c>
      <c r="C27" s="98" t="s">
        <v>123</v>
      </c>
      <c r="D27" s="98" t="s">
        <v>122</v>
      </c>
      <c r="E27" s="110">
        <v>10</v>
      </c>
    </row>
    <row r="28" spans="1:5" x14ac:dyDescent="0.2">
      <c r="A28" s="115" t="s">
        <v>162</v>
      </c>
      <c r="B28" s="116">
        <v>44950</v>
      </c>
      <c r="C28" s="98" t="s">
        <v>123</v>
      </c>
      <c r="D28" s="98" t="s">
        <v>124</v>
      </c>
      <c r="E28" s="110">
        <v>50</v>
      </c>
    </row>
    <row r="29" spans="1:5" x14ac:dyDescent="0.2">
      <c r="A29" s="115" t="s">
        <v>163</v>
      </c>
      <c r="B29" s="116">
        <v>44927</v>
      </c>
      <c r="C29" s="98" t="s">
        <v>116</v>
      </c>
      <c r="D29" s="98" t="s">
        <v>164</v>
      </c>
      <c r="E29" s="110">
        <v>30</v>
      </c>
    </row>
    <row r="30" spans="1:5" x14ac:dyDescent="0.2">
      <c r="A30" s="115"/>
      <c r="B30" s="116"/>
      <c r="E30" s="119"/>
    </row>
    <row r="31" spans="1:5" x14ac:dyDescent="0.2">
      <c r="D31" s="112" t="s">
        <v>107</v>
      </c>
      <c r="E31" s="118">
        <f>SUM(E26:E30)</f>
        <v>136</v>
      </c>
    </row>
  </sheetData>
  <pageMargins left="0.70866141732283472" right="0.70866141732283472" top="0.74803149606299213" bottom="0.74803149606299213" header="0.31496062992125984" footer="0.31496062992125984"/>
  <pageSetup scale="7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B3:K34"/>
  <sheetViews>
    <sheetView workbookViewId="0">
      <selection activeCell="K6" sqref="K6"/>
    </sheetView>
  </sheetViews>
  <sheetFormatPr baseColWidth="10" defaultRowHeight="12.75" x14ac:dyDescent="0.2"/>
  <cols>
    <col min="2" max="2" width="9.5703125" customWidth="1"/>
    <col min="5" max="5" width="7.5703125" style="72" customWidth="1"/>
    <col min="6" max="6" width="11.42578125" style="73"/>
    <col min="7" max="7" width="10.28515625" style="73" customWidth="1"/>
    <col min="10" max="10" width="20.140625" bestFit="1" customWidth="1"/>
    <col min="11" max="11" width="11.42578125" style="84"/>
  </cols>
  <sheetData>
    <row r="3" spans="2:11" x14ac:dyDescent="0.2">
      <c r="B3" s="49" t="s">
        <v>57</v>
      </c>
    </row>
    <row r="4" spans="2:11" s="74" customFormat="1" ht="26.25" thickBot="1" x14ac:dyDescent="0.25">
      <c r="B4" s="80" t="s">
        <v>59</v>
      </c>
      <c r="C4" s="80" t="s">
        <v>50</v>
      </c>
      <c r="D4" s="80" t="s">
        <v>51</v>
      </c>
      <c r="E4" s="81" t="s">
        <v>52</v>
      </c>
      <c r="F4" s="82" t="s">
        <v>53</v>
      </c>
      <c r="G4" s="82" t="s">
        <v>54</v>
      </c>
      <c r="K4" s="138"/>
    </row>
    <row r="5" spans="2:11" x14ac:dyDescent="0.2">
      <c r="B5" s="78" t="s">
        <v>47</v>
      </c>
      <c r="C5" s="79">
        <v>0.01</v>
      </c>
      <c r="D5" s="79">
        <v>472</v>
      </c>
      <c r="E5" s="177" t="s">
        <v>55</v>
      </c>
      <c r="F5" s="177"/>
      <c r="G5" s="177"/>
    </row>
    <row r="6" spans="2:11" x14ac:dyDescent="0.2">
      <c r="B6" s="75" t="s">
        <v>48</v>
      </c>
      <c r="C6" s="76">
        <v>472.01</v>
      </c>
      <c r="D6" s="76">
        <v>895.24</v>
      </c>
      <c r="E6" s="77">
        <v>0.1</v>
      </c>
      <c r="F6" s="76">
        <v>472</v>
      </c>
      <c r="G6" s="76">
        <v>17.670000000000002</v>
      </c>
      <c r="J6" t="s">
        <v>45</v>
      </c>
      <c r="K6" s="84">
        <v>2500</v>
      </c>
    </row>
    <row r="7" spans="2:11" x14ac:dyDescent="0.2">
      <c r="B7" s="75" t="s">
        <v>49</v>
      </c>
      <c r="C7" s="76">
        <v>895.25</v>
      </c>
      <c r="D7" s="76">
        <v>2038.1</v>
      </c>
      <c r="E7" s="77">
        <v>0.2</v>
      </c>
      <c r="F7" s="76">
        <v>895.24</v>
      </c>
      <c r="G7" s="76">
        <v>60</v>
      </c>
      <c r="J7" t="s">
        <v>30</v>
      </c>
      <c r="K7" s="84">
        <f>-'MES X1'!U11</f>
        <v>-30</v>
      </c>
    </row>
    <row r="8" spans="2:11" x14ac:dyDescent="0.2">
      <c r="B8" s="65" t="s">
        <v>58</v>
      </c>
      <c r="C8" s="76">
        <v>2038.11</v>
      </c>
      <c r="D8" s="76" t="s">
        <v>56</v>
      </c>
      <c r="E8" s="77">
        <v>0.3</v>
      </c>
      <c r="F8" s="76">
        <v>2038.1</v>
      </c>
      <c r="G8" s="76">
        <v>288.57</v>
      </c>
      <c r="J8" t="s">
        <v>31</v>
      </c>
      <c r="K8" s="84">
        <f>-'MES X1'!V11</f>
        <v>-302.4609375</v>
      </c>
    </row>
    <row r="9" spans="2:11" x14ac:dyDescent="0.2">
      <c r="J9" t="s">
        <v>126</v>
      </c>
      <c r="K9" s="84">
        <f>SUM(K6:K8)</f>
        <v>2167.5390625</v>
      </c>
    </row>
    <row r="10" spans="2:11" x14ac:dyDescent="0.2">
      <c r="I10" t="s">
        <v>48</v>
      </c>
      <c r="J10" t="s">
        <v>127</v>
      </c>
      <c r="K10" s="84">
        <f>-C7</f>
        <v>-895.25</v>
      </c>
    </row>
    <row r="11" spans="2:11" x14ac:dyDescent="0.2">
      <c r="B11" s="49" t="s">
        <v>30</v>
      </c>
      <c r="D11" s="71"/>
      <c r="J11" t="s">
        <v>128</v>
      </c>
      <c r="K11" s="84">
        <f>SUM(K9:K10)</f>
        <v>1272.2890625</v>
      </c>
    </row>
    <row r="12" spans="2:11" x14ac:dyDescent="0.2">
      <c r="B12" s="64" t="s">
        <v>72</v>
      </c>
      <c r="D12" s="71">
        <v>0.03</v>
      </c>
      <c r="J12" s="72">
        <v>0.2</v>
      </c>
      <c r="K12" s="84">
        <f>+K11*E7</f>
        <v>254.45781250000002</v>
      </c>
    </row>
    <row r="13" spans="2:11" x14ac:dyDescent="0.2">
      <c r="B13" s="64" t="s">
        <v>73</v>
      </c>
      <c r="D13" s="71">
        <v>7.4999999999999997E-2</v>
      </c>
      <c r="J13" t="s">
        <v>129</v>
      </c>
      <c r="K13" s="84">
        <v>60</v>
      </c>
    </row>
    <row r="14" spans="2:11" x14ac:dyDescent="0.2">
      <c r="B14" s="64" t="s">
        <v>74</v>
      </c>
      <c r="D14" s="84">
        <v>1000</v>
      </c>
      <c r="J14" s="49" t="s">
        <v>130</v>
      </c>
      <c r="K14" s="85">
        <f>+K13+K12</f>
        <v>314.45781250000005</v>
      </c>
    </row>
    <row r="15" spans="2:11" x14ac:dyDescent="0.2">
      <c r="D15" s="71"/>
    </row>
    <row r="16" spans="2:11" ht="38.25" x14ac:dyDescent="0.2">
      <c r="B16" s="49" t="s">
        <v>34</v>
      </c>
      <c r="D16" s="139" t="s">
        <v>132</v>
      </c>
      <c r="E16" s="140"/>
      <c r="F16" s="139" t="s">
        <v>131</v>
      </c>
    </row>
    <row r="17" spans="2:9" x14ac:dyDescent="0.2">
      <c r="B17" s="64" t="s">
        <v>72</v>
      </c>
      <c r="D17" s="71">
        <v>7.2499999999999995E-2</v>
      </c>
      <c r="F17" s="71">
        <v>7.2499999999999995E-2</v>
      </c>
    </row>
    <row r="18" spans="2:9" x14ac:dyDescent="0.2">
      <c r="B18" s="64" t="s">
        <v>73</v>
      </c>
      <c r="D18" s="71">
        <v>7.7499999999999999E-2</v>
      </c>
      <c r="F18" s="71">
        <v>8.7499999999999994E-2</v>
      </c>
    </row>
    <row r="19" spans="2:9" x14ac:dyDescent="0.2">
      <c r="B19" s="64" t="s">
        <v>74</v>
      </c>
      <c r="D19" s="84">
        <v>6500</v>
      </c>
      <c r="F19" s="73" t="s">
        <v>156</v>
      </c>
    </row>
    <row r="21" spans="2:9" x14ac:dyDescent="0.2">
      <c r="B21" s="49" t="s">
        <v>13</v>
      </c>
      <c r="D21" s="71"/>
    </row>
    <row r="22" spans="2:9" x14ac:dyDescent="0.2">
      <c r="B22" s="64" t="s">
        <v>80</v>
      </c>
      <c r="D22" s="91" t="s">
        <v>81</v>
      </c>
    </row>
    <row r="23" spans="2:9" x14ac:dyDescent="0.2">
      <c r="B23" s="64" t="s">
        <v>82</v>
      </c>
      <c r="D23" s="72">
        <v>0.3</v>
      </c>
    </row>
    <row r="24" spans="2:9" ht="15" customHeight="1" x14ac:dyDescent="0.2">
      <c r="B24" s="178" t="s">
        <v>83</v>
      </c>
      <c r="C24" s="178"/>
      <c r="D24" s="178"/>
      <c r="E24" s="178"/>
      <c r="F24" s="178"/>
      <c r="G24" s="178"/>
      <c r="H24" s="178"/>
      <c r="I24" s="178"/>
    </row>
    <row r="25" spans="2:9" ht="15" customHeight="1" x14ac:dyDescent="0.2">
      <c r="B25" s="178"/>
      <c r="C25" s="178"/>
      <c r="D25" s="178"/>
      <c r="E25" s="178"/>
      <c r="F25" s="178"/>
      <c r="G25" s="178"/>
      <c r="H25" s="178"/>
      <c r="I25" s="178"/>
    </row>
    <row r="27" spans="2:9" x14ac:dyDescent="0.2">
      <c r="B27" s="49" t="s">
        <v>61</v>
      </c>
    </row>
    <row r="28" spans="2:9" ht="30.75" customHeight="1" x14ac:dyDescent="0.2">
      <c r="B28" s="179" t="s">
        <v>75</v>
      </c>
      <c r="C28" s="179"/>
      <c r="D28" s="179"/>
      <c r="E28" s="179"/>
      <c r="F28" s="179"/>
      <c r="G28" s="179"/>
      <c r="H28" s="179"/>
      <c r="I28" s="179"/>
    </row>
    <row r="29" spans="2:9" ht="15" x14ac:dyDescent="0.25">
      <c r="B29" s="90" t="s">
        <v>76</v>
      </c>
    </row>
    <row r="30" spans="2:9" ht="15" x14ac:dyDescent="0.25">
      <c r="B30" s="90" t="s">
        <v>77</v>
      </c>
    </row>
    <row r="31" spans="2:9" ht="15" x14ac:dyDescent="0.25">
      <c r="B31" s="90" t="s">
        <v>78</v>
      </c>
    </row>
    <row r="32" spans="2:9" ht="15" x14ac:dyDescent="0.25">
      <c r="B32" s="90" t="s">
        <v>79</v>
      </c>
    </row>
    <row r="34" spans="2:2" ht="15" x14ac:dyDescent="0.25">
      <c r="B34" s="90" t="s">
        <v>133</v>
      </c>
    </row>
  </sheetData>
  <mergeCells count="3">
    <mergeCell ref="E5:G5"/>
    <mergeCell ref="B24:I25"/>
    <mergeCell ref="B28:I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B3:D12"/>
  <sheetViews>
    <sheetView workbookViewId="0">
      <selection activeCell="B3" sqref="B3"/>
    </sheetView>
  </sheetViews>
  <sheetFormatPr baseColWidth="10" defaultRowHeight="12.75" x14ac:dyDescent="0.2"/>
  <cols>
    <col min="2" max="2" width="24.5703125" customWidth="1"/>
    <col min="3" max="3" width="11.42578125" style="84"/>
    <col min="4" max="4" width="10" style="86" customWidth="1"/>
  </cols>
  <sheetData>
    <row r="3" spans="2:4" x14ac:dyDescent="0.2">
      <c r="B3" s="49" t="s">
        <v>71</v>
      </c>
    </row>
    <row r="5" spans="2:4" x14ac:dyDescent="0.2">
      <c r="B5" s="49" t="s">
        <v>66</v>
      </c>
      <c r="C5" s="88" t="s">
        <v>70</v>
      </c>
      <c r="D5" s="89" t="s">
        <v>69</v>
      </c>
    </row>
    <row r="6" spans="2:4" x14ac:dyDescent="0.2">
      <c r="B6" s="64" t="s">
        <v>60</v>
      </c>
      <c r="C6" s="84">
        <v>3613.37</v>
      </c>
      <c r="D6" s="86">
        <f t="shared" ref="D6:D11" si="0">+C6/$C$12</f>
        <v>0.78158013133873805</v>
      </c>
    </row>
    <row r="7" spans="2:4" x14ac:dyDescent="0.2">
      <c r="B7" s="64" t="s">
        <v>68</v>
      </c>
      <c r="C7" s="84">
        <v>150</v>
      </c>
      <c r="D7" s="86">
        <f t="shared" si="0"/>
        <v>3.2445340416511648E-2</v>
      </c>
    </row>
    <row r="8" spans="2:4" x14ac:dyDescent="0.2">
      <c r="B8" s="64" t="s">
        <v>67</v>
      </c>
      <c r="C8" s="84">
        <v>280.60000000000002</v>
      </c>
      <c r="D8" s="86">
        <f t="shared" si="0"/>
        <v>6.0694416805821133E-2</v>
      </c>
    </row>
    <row r="9" spans="2:4" x14ac:dyDescent="0.2">
      <c r="B9" s="64" t="s">
        <v>63</v>
      </c>
      <c r="C9" s="84">
        <v>190.65</v>
      </c>
      <c r="D9" s="86">
        <f t="shared" si="0"/>
        <v>4.1238027669386307E-2</v>
      </c>
    </row>
    <row r="10" spans="2:4" x14ac:dyDescent="0.2">
      <c r="B10" s="64" t="s">
        <v>62</v>
      </c>
      <c r="C10" s="84">
        <v>185.76</v>
      </c>
      <c r="D10" s="86">
        <f t="shared" si="0"/>
        <v>4.0180309571808029E-2</v>
      </c>
    </row>
    <row r="11" spans="2:4" x14ac:dyDescent="0.2">
      <c r="B11" s="64" t="s">
        <v>64</v>
      </c>
      <c r="C11" s="84">
        <v>202.78</v>
      </c>
      <c r="D11" s="86">
        <f t="shared" si="0"/>
        <v>4.3861774197734883E-2</v>
      </c>
    </row>
    <row r="12" spans="2:4" x14ac:dyDescent="0.2">
      <c r="B12" s="49" t="s">
        <v>65</v>
      </c>
      <c r="C12" s="85">
        <f>SUM(C6:C11)</f>
        <v>4623.16</v>
      </c>
      <c r="D12" s="87">
        <f>SUM(D6:D11)</f>
        <v>1.0000000000000002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MES X1</vt:lpstr>
      <vt:lpstr>EMPLEADO 1</vt:lpstr>
      <vt:lpstr>Reintegros</vt:lpstr>
      <vt:lpstr>Tabla ISR Mensual</vt:lpstr>
      <vt:lpstr>Costo empleado</vt:lpstr>
    </vt:vector>
  </TitlesOfParts>
  <Company>HD Estudio Contable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</dc:creator>
  <cp:lastModifiedBy>Juan Carlos Hernandez D</cp:lastModifiedBy>
  <cp:lastPrinted>2023-01-30T16:49:05Z</cp:lastPrinted>
  <dcterms:created xsi:type="dcterms:W3CDTF">2015-02-13T15:16:16Z</dcterms:created>
  <dcterms:modified xsi:type="dcterms:W3CDTF">2025-01-11T20:10:24Z</dcterms:modified>
</cp:coreProperties>
</file>